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57E52775-C3B8-43CD-A705-C5463113C302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Z12" i="28"/>
  <c r="Z7" i="28"/>
  <c r="Z6" i="28"/>
  <c r="M31" i="28" l="1"/>
  <c r="D28" i="3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6" i="28"/>
  <c r="X6" i="28"/>
  <c r="T6" i="28"/>
  <c r="X11" i="28"/>
  <c r="T11" i="28"/>
  <c r="P17" i="28" l="1"/>
  <c r="P12" i="28"/>
  <c r="Z11" i="28"/>
  <c r="P20" i="28"/>
  <c r="P6" i="28"/>
  <c r="D28" i="1"/>
  <c r="F28" i="1"/>
  <c r="S31" i="28" l="1"/>
  <c r="W31" i="28" l="1"/>
  <c r="C28" i="3"/>
  <c r="C28" i="5"/>
  <c r="H3" i="18"/>
  <c r="G3" i="18"/>
  <c r="F3" i="18"/>
  <c r="E3" i="18"/>
  <c r="D3" i="18"/>
  <c r="AF3" i="14" l="1"/>
  <c r="AB3" i="14"/>
  <c r="AC3" i="14"/>
  <c r="AG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E28" i="4" l="1"/>
  <c r="R31" i="28" l="1"/>
  <c r="L31" i="28"/>
  <c r="I31" i="28"/>
  <c r="H31" i="28"/>
  <c r="D31" i="28"/>
  <c r="F31" i="28" s="1"/>
  <c r="N31" i="28" l="1"/>
  <c r="J31" i="28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7" i="28" l="1"/>
  <c r="AF19" i="28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9" i="28"/>
  <c r="P10" i="28"/>
  <c r="P22" i="28"/>
  <c r="P18" i="28"/>
  <c r="P16" i="28"/>
  <c r="P24" i="28"/>
  <c r="P15" i="28"/>
  <c r="P27" i="28"/>
  <c r="P9" i="28"/>
  <c r="P21" i="28"/>
  <c r="P30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6" i="28" l="1"/>
  <c r="AH24" i="28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D6" i="28" l="1"/>
  <c r="AD20" i="28"/>
  <c r="AD8" i="28"/>
  <c r="AC20" i="28"/>
  <c r="AC8" i="28"/>
  <c r="AD19" i="28"/>
  <c r="AD7" i="28"/>
  <c r="AC19" i="28"/>
  <c r="AC7" i="28"/>
  <c r="AD18" i="28"/>
  <c r="AC30" i="28"/>
  <c r="AD30" i="28"/>
  <c r="AD29" i="28"/>
  <c r="AD28" i="28"/>
  <c r="AD16" i="28"/>
  <c r="AC28" i="28"/>
  <c r="AC16" i="28"/>
  <c r="AD12" i="28"/>
  <c r="AD23" i="28"/>
  <c r="AC21" i="28"/>
  <c r="AC18" i="28"/>
  <c r="AD27" i="28"/>
  <c r="AD15" i="28"/>
  <c r="AC27" i="28"/>
  <c r="AC15" i="28"/>
  <c r="AC13" i="28"/>
  <c r="AC24" i="28"/>
  <c r="AD11" i="28"/>
  <c r="AC11" i="28"/>
  <c r="AD9" i="28"/>
  <c r="AD26" i="28"/>
  <c r="AD14" i="28"/>
  <c r="AC26" i="28"/>
  <c r="AC14" i="28"/>
  <c r="AD13" i="28"/>
  <c r="AC25" i="28"/>
  <c r="AC12" i="28"/>
  <c r="AC23" i="28"/>
  <c r="AC10" i="28"/>
  <c r="AC9" i="28"/>
  <c r="AC17" i="28"/>
  <c r="AD25" i="28"/>
  <c r="AD24" i="28"/>
  <c r="AD17" i="28"/>
  <c r="AD22" i="28"/>
  <c r="AD10" i="28"/>
  <c r="AC22" i="28"/>
  <c r="AD21" i="28"/>
  <c r="AC29" i="28"/>
  <c r="AC6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l="1"/>
  <c r="V4" i="14"/>
  <c r="AA4" i="14"/>
  <c r="AE22" i="14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W4" i="14"/>
  <c r="W5" i="14"/>
  <c r="X29" i="14"/>
  <c r="X28" i="14"/>
  <c r="X26" i="14"/>
  <c r="X25" i="14"/>
  <c r="X2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6" i="20" l="1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<sst xmlns="http://schemas.openxmlformats.org/spreadsheetml/2006/main" count="441" uniqueCount="104">
  <si>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</si>
  <si>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</si>
  <si>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</si>
  <si>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</si>
  <si>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</si>
  <si>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</si>
  <si>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</si>
  <si>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</si>
  <si>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</si>
  <si>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</si>
  <si>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</si>
  <si>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</si>
  <si>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</si>
  <si>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</si>
  <si>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</si>
  <si>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</si>
  <si>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</si>
  <si>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</si>
  <si>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</si>
  <si>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</si>
  <si>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</si>
  <si>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</si>
  <si>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</si>
  <si>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</si>
  <si>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</si>
  <si>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</si>
  <si>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</si>
  <si>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</si>
  <si>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</si>
  <si>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</si>
  <si>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</si>
  <si>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</si>
  <si>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</si>
  <si>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</si>
  <si>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</si>
  <si>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</si>
  <si>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</si>
  <si>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</si>
  <si>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</si>
  <si>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</si>
  <si>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</si>
  <si>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</si>
  <si>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</si>
  <si>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</si>
  <si>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</si>
  <si>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</si>
  <si>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</si>
  <si>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</si>
  <si>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</si>
  <si>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</si>
  <si>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</si>
  <si>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</si>
  <si>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</si>
  <si>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</si>
  <si>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</si>
  <si>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</si>
  <si>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</si>
  <si>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</si>
  <si>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</si>
  <si>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</si>
  <si>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Spadki i wzrosty - liczba bezrobotnych wg powiatów [podkarpackie]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</si>
  <si>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</si>
  <si>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</si>
  <si>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</si>
  <si>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</si>
  <si>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</si>
  <si>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stan na 31-12-2024</t>
  </si>
  <si>
    <t>lokata [x]</t>
  </si>
  <si>
    <t>lokata [y]</t>
  </si>
  <si>
    <t>wzrost/spadek [y1]</t>
  </si>
  <si>
    <t>wzrost/spadek [y2]</t>
  </si>
  <si>
    <t>Suma różnic [y]</t>
  </si>
  <si>
    <t>liczba bezrobotnych kobiet stan na 28-02-'25 r.</t>
  </si>
  <si>
    <t>liczba ofert w 02-'25 r.</t>
  </si>
  <si>
    <t>kumulatywny wzrost/sp. podjęć pracy i staży</t>
  </si>
  <si>
    <t>kumulatywny wzrost/sp. liczby bezrobotnych</t>
  </si>
  <si>
    <t>Ranking bezrobotnych</t>
  </si>
  <si>
    <t>liczba bezrobotnych ogółem stan na 28-02-'25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</si>
  <si>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31-03-'25 r.</t>
    </r>
  </si>
  <si>
    <t>liczba bezrobotnych ogółem stan na 31-03-'24 r.</t>
  </si>
  <si>
    <t>liczba bezrobotnych kobiet stan na 31-03-'25 r.</t>
  </si>
  <si>
    <t>liczba bezrobotnych kobiet stan na 31-03-'24 r.</t>
  </si>
  <si>
    <t>liczba bezrobotnych zam. na wsi stan na 28-02-'25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</si>
  <si>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31-03-'25 r.</t>
    </r>
  </si>
  <si>
    <r>
      <t>liczba bezrobotnych zam. na wsi stan na 31</t>
    </r>
    <r>
      <rPr>
        <sz val="12"/>
        <color theme="1"/>
        <rFont val="Arial"/>
        <family val="2"/>
        <charset val="238"/>
      </rPr>
      <t>-03-'24 r.</t>
    </r>
  </si>
  <si>
    <t>liczba bezrobotnych pow. 12 m-cy stan na 28-02-'25 r.</t>
  </si>
  <si>
    <r>
      <t>liczba bezrobotnych pow. 12 m-cy stan na 31</t>
    </r>
    <r>
      <rPr>
        <sz val="12"/>
        <color theme="1"/>
        <rFont val="Arial"/>
        <family val="2"/>
        <charset val="238"/>
      </rPr>
      <t>-03-'25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</si>
  <si>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31-03-'24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</si>
  <si>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-03-'24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</si>
  <si>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-03-'25 r.</t>
    </r>
  </si>
  <si>
    <t>liczba bezrobotnych do 30 r. ż. stan na 28-02-'25 r.</t>
  </si>
  <si>
    <r>
      <t>liczba bezrobotnych 50+ stan na 31</t>
    </r>
    <r>
      <rPr>
        <sz val="12"/>
        <color theme="1"/>
        <rFont val="Arial"/>
        <family val="2"/>
        <charset val="238"/>
      </rPr>
      <t>-03-'24 r.</t>
    </r>
  </si>
  <si>
    <r>
      <t>liczba bezrobotnych 50+ stan na 31</t>
    </r>
    <r>
      <rPr>
        <sz val="12"/>
        <color theme="1"/>
        <rFont val="Arial"/>
        <family val="2"/>
        <charset val="238"/>
      </rPr>
      <t>-03-'25 r.</t>
    </r>
  </si>
  <si>
    <t>liczba bezrobotnych 50+ stan na 28-02-'25 r.</t>
  </si>
  <si>
    <t>liczba ofert w 03-'25 r.</t>
  </si>
  <si>
    <t>liczba ofert w 03-'24 r.</t>
  </si>
  <si>
    <t>podjecia pracy niesubs. I-III 2025</t>
  </si>
  <si>
    <t>podjecia pracy niesubs. I-III 2024</t>
  </si>
  <si>
    <t>praca subs. I-III 2025</t>
  </si>
  <si>
    <t>praca subs. I-III 2024</t>
  </si>
  <si>
    <t>staże I-III 2025</t>
  </si>
  <si>
    <t>staże I-III 2024</t>
  </si>
  <si>
    <t>stan na 31-03-2024</t>
  </si>
  <si>
    <t>stan na 31-03-2025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</si>
</sst>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2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5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0DAD8"/>
      <color rgb="FFF8EDEC"/>
      <color rgb="FFFDE2CB"/>
      <color rgb="FFFFFFCC"/>
      <color rgb="FFFFEE9B"/>
      <color rgb="FFFFCC99"/>
      <color rgb="FFEAF0F6"/>
      <color rgb="FFFFFFFF"/>
      <color rgb="FFFEF4EC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dębicki</c:v>
                </c:pt>
                <c:pt idx="10">
                  <c:v>krośnieński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niżański</c:v>
                </c:pt>
                <c:pt idx="15">
                  <c:v>leżajski</c:v>
                </c:pt>
                <c:pt idx="16">
                  <c:v>sanocki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882</c:v>
                </c:pt>
                <c:pt idx="1">
                  <c:v>1048</c:v>
                </c:pt>
                <c:pt idx="2">
                  <c:v>1095</c:v>
                </c:pt>
                <c:pt idx="3">
                  <c:v>1253</c:v>
                </c:pt>
                <c:pt idx="4">
                  <c:v>1625</c:v>
                </c:pt>
                <c:pt idx="5">
                  <c:v>1701</c:v>
                </c:pt>
                <c:pt idx="6">
                  <c:v>1708</c:v>
                </c:pt>
                <c:pt idx="7">
                  <c:v>2304</c:v>
                </c:pt>
                <c:pt idx="8">
                  <c:v>2355</c:v>
                </c:pt>
                <c:pt idx="9">
                  <c:v>2407</c:v>
                </c:pt>
                <c:pt idx="10">
                  <c:v>2479</c:v>
                </c:pt>
                <c:pt idx="11">
                  <c:v>2552</c:v>
                </c:pt>
                <c:pt idx="12">
                  <c:v>2741</c:v>
                </c:pt>
                <c:pt idx="13">
                  <c:v>2930</c:v>
                </c:pt>
                <c:pt idx="14">
                  <c:v>2997</c:v>
                </c:pt>
                <c:pt idx="15">
                  <c:v>3010</c:v>
                </c:pt>
                <c:pt idx="16">
                  <c:v>3097</c:v>
                </c:pt>
                <c:pt idx="17">
                  <c:v>3101</c:v>
                </c:pt>
                <c:pt idx="18">
                  <c:v>3166</c:v>
                </c:pt>
                <c:pt idx="19">
                  <c:v>3391</c:v>
                </c:pt>
                <c:pt idx="20">
                  <c:v>3773</c:v>
                </c:pt>
                <c:pt idx="21">
                  <c:v>4643</c:v>
                </c:pt>
                <c:pt idx="22">
                  <c:v>4650</c:v>
                </c:pt>
                <c:pt idx="23">
                  <c:v>4996</c:v>
                </c:pt>
                <c:pt idx="24">
                  <c:v>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krośnieński</c:v>
                </c:pt>
                <c:pt idx="4">
                  <c:v>tarnobrzeski </c:v>
                </c:pt>
                <c:pt idx="5">
                  <c:v>sanocki</c:v>
                </c:pt>
                <c:pt idx="6">
                  <c:v>Przemyśl</c:v>
                </c:pt>
                <c:pt idx="7">
                  <c:v>ropczycko-sędziszowski</c:v>
                </c:pt>
                <c:pt idx="8">
                  <c:v>łańcucki</c:v>
                </c:pt>
                <c:pt idx="9">
                  <c:v>leski</c:v>
                </c:pt>
                <c:pt idx="10">
                  <c:v>Tarnobrzeg</c:v>
                </c:pt>
                <c:pt idx="11">
                  <c:v>rzeszowski</c:v>
                </c:pt>
                <c:pt idx="12">
                  <c:v>strzyżowski</c:v>
                </c:pt>
                <c:pt idx="13">
                  <c:v>jarosławski</c:v>
                </c:pt>
                <c:pt idx="14">
                  <c:v>Krosno</c:v>
                </c:pt>
                <c:pt idx="15">
                  <c:v>lubaczowski</c:v>
                </c:pt>
                <c:pt idx="16">
                  <c:v>kolbuszowski</c:v>
                </c:pt>
                <c:pt idx="17">
                  <c:v>niżański</c:v>
                </c:pt>
                <c:pt idx="18">
                  <c:v>stalowowolski</c:v>
                </c:pt>
                <c:pt idx="19">
                  <c:v>leżajski</c:v>
                </c:pt>
                <c:pt idx="20">
                  <c:v>jasielski</c:v>
                </c:pt>
                <c:pt idx="21">
                  <c:v>przeworski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3</c:v>
                </c:pt>
                <c:pt idx="1">
                  <c:v>12</c:v>
                </c:pt>
                <c:pt idx="2">
                  <c:v>20</c:v>
                </c:pt>
                <c:pt idx="3">
                  <c:v>21</c:v>
                </c:pt>
                <c:pt idx="4">
                  <c:v>27</c:v>
                </c:pt>
                <c:pt idx="5">
                  <c:v>31</c:v>
                </c:pt>
                <c:pt idx="6">
                  <c:v>34</c:v>
                </c:pt>
                <c:pt idx="7">
                  <c:v>37</c:v>
                </c:pt>
                <c:pt idx="8">
                  <c:v>40</c:v>
                </c:pt>
                <c:pt idx="9">
                  <c:v>45</c:v>
                </c:pt>
                <c:pt idx="10">
                  <c:v>46</c:v>
                </c:pt>
                <c:pt idx="11">
                  <c:v>50</c:v>
                </c:pt>
                <c:pt idx="12">
                  <c:v>54</c:v>
                </c:pt>
                <c:pt idx="13">
                  <c:v>62</c:v>
                </c:pt>
                <c:pt idx="14">
                  <c:v>63</c:v>
                </c:pt>
                <c:pt idx="15">
                  <c:v>66</c:v>
                </c:pt>
                <c:pt idx="16">
                  <c:v>73</c:v>
                </c:pt>
                <c:pt idx="17">
                  <c:v>86</c:v>
                </c:pt>
                <c:pt idx="18">
                  <c:v>89</c:v>
                </c:pt>
                <c:pt idx="19">
                  <c:v>131</c:v>
                </c:pt>
                <c:pt idx="20">
                  <c:v>145</c:v>
                </c:pt>
                <c:pt idx="21">
                  <c:v>157</c:v>
                </c:pt>
                <c:pt idx="22">
                  <c:v>188</c:v>
                </c:pt>
                <c:pt idx="23">
                  <c:v>261</c:v>
                </c:pt>
                <c:pt idx="24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województwo</c:v>
                </c:pt>
                <c:pt idx="1">
                  <c:v>jarosławski</c:v>
                </c:pt>
                <c:pt idx="2">
                  <c:v>leżajski</c:v>
                </c:pt>
                <c:pt idx="3">
                  <c:v>brzozowski</c:v>
                </c:pt>
                <c:pt idx="4">
                  <c:v>przemyski</c:v>
                </c:pt>
                <c:pt idx="5">
                  <c:v>niżański</c:v>
                </c:pt>
                <c:pt idx="6">
                  <c:v>bieszczadzki</c:v>
                </c:pt>
                <c:pt idx="7">
                  <c:v>tarnobrzeski </c:v>
                </c:pt>
                <c:pt idx="8">
                  <c:v>jasielski</c:v>
                </c:pt>
                <c:pt idx="9">
                  <c:v>łańcucki</c:v>
                </c:pt>
                <c:pt idx="10">
                  <c:v>dębicki</c:v>
                </c:pt>
                <c:pt idx="11">
                  <c:v>lubaczowski</c:v>
                </c:pt>
                <c:pt idx="12">
                  <c:v>strzyżowski</c:v>
                </c:pt>
                <c:pt idx="13">
                  <c:v>rzeszowski</c:v>
                </c:pt>
                <c:pt idx="14">
                  <c:v>Przemyśl</c:v>
                </c:pt>
                <c:pt idx="15">
                  <c:v>mielecki</c:v>
                </c:pt>
                <c:pt idx="16">
                  <c:v>krośnieński</c:v>
                </c:pt>
                <c:pt idx="17">
                  <c:v>leski</c:v>
                </c:pt>
                <c:pt idx="18">
                  <c:v>Tarnobrzeg</c:v>
                </c:pt>
                <c:pt idx="19">
                  <c:v>przeworski</c:v>
                </c:pt>
                <c:pt idx="20">
                  <c:v>stalowowolski</c:v>
                </c:pt>
                <c:pt idx="21">
                  <c:v>Krosno</c:v>
                </c:pt>
                <c:pt idx="22">
                  <c:v>Rzeszów</c:v>
                </c:pt>
                <c:pt idx="23">
                  <c:v>ropczycko-sędziszowski</c:v>
                </c:pt>
                <c:pt idx="24">
                  <c:v>kolbuszowski</c:v>
                </c:pt>
                <c:pt idx="25">
                  <c:v>sanocki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-1999</c:v>
                </c:pt>
                <c:pt idx="1">
                  <c:v>-287</c:v>
                </c:pt>
                <c:pt idx="2">
                  <c:v>-177</c:v>
                </c:pt>
                <c:pt idx="3">
                  <c:v>-139</c:v>
                </c:pt>
                <c:pt idx="4">
                  <c:v>-137</c:v>
                </c:pt>
                <c:pt idx="5">
                  <c:v>-120</c:v>
                </c:pt>
                <c:pt idx="6">
                  <c:v>-97</c:v>
                </c:pt>
                <c:pt idx="7">
                  <c:v>-97</c:v>
                </c:pt>
                <c:pt idx="8">
                  <c:v>-96</c:v>
                </c:pt>
                <c:pt idx="9">
                  <c:v>-89</c:v>
                </c:pt>
                <c:pt idx="10">
                  <c:v>-86</c:v>
                </c:pt>
                <c:pt idx="11">
                  <c:v>-85</c:v>
                </c:pt>
                <c:pt idx="12">
                  <c:v>-85</c:v>
                </c:pt>
                <c:pt idx="13">
                  <c:v>-77</c:v>
                </c:pt>
                <c:pt idx="14">
                  <c:v>-76</c:v>
                </c:pt>
                <c:pt idx="15">
                  <c:v>-72</c:v>
                </c:pt>
                <c:pt idx="16">
                  <c:v>-69</c:v>
                </c:pt>
                <c:pt idx="17">
                  <c:v>-62</c:v>
                </c:pt>
                <c:pt idx="18">
                  <c:v>-62</c:v>
                </c:pt>
                <c:pt idx="19">
                  <c:v>-47</c:v>
                </c:pt>
                <c:pt idx="20">
                  <c:v>-27</c:v>
                </c:pt>
                <c:pt idx="21">
                  <c:v>-15</c:v>
                </c:pt>
                <c:pt idx="22">
                  <c:v>-14</c:v>
                </c:pt>
                <c:pt idx="23">
                  <c:v>-2</c:v>
                </c:pt>
                <c:pt idx="24">
                  <c:v>2</c:v>
                </c:pt>
                <c:pt idx="2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przemyski</c:v>
                </c:pt>
                <c:pt idx="13">
                  <c:v>dębicki</c:v>
                </c:pt>
                <c:pt idx="14">
                  <c:v>niżański</c:v>
                </c:pt>
                <c:pt idx="15">
                  <c:v>sanocki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465</c:v>
                </c:pt>
                <c:pt idx="1">
                  <c:v>517</c:v>
                </c:pt>
                <c:pt idx="2">
                  <c:v>523</c:v>
                </c:pt>
                <c:pt idx="3">
                  <c:v>608</c:v>
                </c:pt>
                <c:pt idx="4">
                  <c:v>749</c:v>
                </c:pt>
                <c:pt idx="5">
                  <c:v>766</c:v>
                </c:pt>
                <c:pt idx="6">
                  <c:v>817</c:v>
                </c:pt>
                <c:pt idx="7">
                  <c:v>1080</c:v>
                </c:pt>
                <c:pt idx="8">
                  <c:v>1167</c:v>
                </c:pt>
                <c:pt idx="9">
                  <c:v>1185</c:v>
                </c:pt>
                <c:pt idx="10">
                  <c:v>1351</c:v>
                </c:pt>
                <c:pt idx="11">
                  <c:v>1378</c:v>
                </c:pt>
                <c:pt idx="12">
                  <c:v>1405</c:v>
                </c:pt>
                <c:pt idx="13">
                  <c:v>1420</c:v>
                </c:pt>
                <c:pt idx="14">
                  <c:v>1492</c:v>
                </c:pt>
                <c:pt idx="15">
                  <c:v>1493</c:v>
                </c:pt>
                <c:pt idx="16">
                  <c:v>1521</c:v>
                </c:pt>
                <c:pt idx="17">
                  <c:v>1521</c:v>
                </c:pt>
                <c:pt idx="18">
                  <c:v>1529</c:v>
                </c:pt>
                <c:pt idx="19">
                  <c:v>1769</c:v>
                </c:pt>
                <c:pt idx="20">
                  <c:v>1828</c:v>
                </c:pt>
                <c:pt idx="21">
                  <c:v>2162</c:v>
                </c:pt>
                <c:pt idx="22">
                  <c:v>2345</c:v>
                </c:pt>
                <c:pt idx="23">
                  <c:v>2557</c:v>
                </c:pt>
                <c:pt idx="24">
                  <c:v>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ropczycko-sędziszowski</c:v>
                </c:pt>
                <c:pt idx="9">
                  <c:v>sanocki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przemyski</c:v>
                </c:pt>
                <c:pt idx="17">
                  <c:v>jarosławski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695</c:v>
                </c:pt>
                <c:pt idx="1">
                  <c:v>897</c:v>
                </c:pt>
                <c:pt idx="2">
                  <c:v>1028</c:v>
                </c:pt>
                <c:pt idx="3">
                  <c:v>1115</c:v>
                </c:pt>
                <c:pt idx="4">
                  <c:v>1408</c:v>
                </c:pt>
                <c:pt idx="5">
                  <c:v>1411</c:v>
                </c:pt>
                <c:pt idx="6">
                  <c:v>1450</c:v>
                </c:pt>
                <c:pt idx="7">
                  <c:v>1573</c:v>
                </c:pt>
                <c:pt idx="8">
                  <c:v>1766</c:v>
                </c:pt>
                <c:pt idx="9">
                  <c:v>1835</c:v>
                </c:pt>
                <c:pt idx="10">
                  <c:v>1955</c:v>
                </c:pt>
                <c:pt idx="11">
                  <c:v>1979</c:v>
                </c:pt>
                <c:pt idx="12">
                  <c:v>2241</c:v>
                </c:pt>
                <c:pt idx="13">
                  <c:v>2295</c:v>
                </c:pt>
                <c:pt idx="14">
                  <c:v>2531</c:v>
                </c:pt>
                <c:pt idx="15">
                  <c:v>2771</c:v>
                </c:pt>
                <c:pt idx="16">
                  <c:v>2852</c:v>
                </c:pt>
                <c:pt idx="17">
                  <c:v>2874</c:v>
                </c:pt>
                <c:pt idx="18">
                  <c:v>3466</c:v>
                </c:pt>
                <c:pt idx="19">
                  <c:v>3546</c:v>
                </c:pt>
                <c:pt idx="20">
                  <c:v>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stalowowolski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Przemyśl</c:v>
                </c:pt>
                <c:pt idx="13">
                  <c:v>mielecki</c:v>
                </c:pt>
                <c:pt idx="14">
                  <c:v>sanocki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346</c:v>
                </c:pt>
                <c:pt idx="1">
                  <c:v>542</c:v>
                </c:pt>
                <c:pt idx="2">
                  <c:v>625</c:v>
                </c:pt>
                <c:pt idx="3">
                  <c:v>657</c:v>
                </c:pt>
                <c:pt idx="4">
                  <c:v>776</c:v>
                </c:pt>
                <c:pt idx="5">
                  <c:v>901</c:v>
                </c:pt>
                <c:pt idx="6">
                  <c:v>969</c:v>
                </c:pt>
                <c:pt idx="7">
                  <c:v>972</c:v>
                </c:pt>
                <c:pt idx="8">
                  <c:v>1058</c:v>
                </c:pt>
                <c:pt idx="9">
                  <c:v>1069</c:v>
                </c:pt>
                <c:pt idx="10">
                  <c:v>1221</c:v>
                </c:pt>
                <c:pt idx="11">
                  <c:v>1415</c:v>
                </c:pt>
                <c:pt idx="12">
                  <c:v>1472</c:v>
                </c:pt>
                <c:pt idx="13">
                  <c:v>1551</c:v>
                </c:pt>
                <c:pt idx="14">
                  <c:v>1592</c:v>
                </c:pt>
                <c:pt idx="15">
                  <c:v>1666</c:v>
                </c:pt>
                <c:pt idx="16">
                  <c:v>1695</c:v>
                </c:pt>
                <c:pt idx="17">
                  <c:v>1732</c:v>
                </c:pt>
                <c:pt idx="18">
                  <c:v>1929</c:v>
                </c:pt>
                <c:pt idx="19">
                  <c:v>1970</c:v>
                </c:pt>
                <c:pt idx="20">
                  <c:v>2405</c:v>
                </c:pt>
                <c:pt idx="21">
                  <c:v>2456</c:v>
                </c:pt>
                <c:pt idx="22">
                  <c:v>2560</c:v>
                </c:pt>
                <c:pt idx="23">
                  <c:v>2869</c:v>
                </c:pt>
                <c:pt idx="24">
                  <c:v>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Przemyśl</c:v>
                </c:pt>
                <c:pt idx="6">
                  <c:v>lubaczowski</c:v>
                </c:pt>
                <c:pt idx="7">
                  <c:v>kolbuszowski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przemyski</c:v>
                </c:pt>
                <c:pt idx="13">
                  <c:v>niżański</c:v>
                </c:pt>
                <c:pt idx="14">
                  <c:v>mielecki</c:v>
                </c:pt>
                <c:pt idx="15">
                  <c:v>leżajski</c:v>
                </c:pt>
                <c:pt idx="16">
                  <c:v>strzyżowski</c:v>
                </c:pt>
                <c:pt idx="17">
                  <c:v>sanocki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176</c:v>
                </c:pt>
                <c:pt idx="1">
                  <c:v>219</c:v>
                </c:pt>
                <c:pt idx="2">
                  <c:v>287</c:v>
                </c:pt>
                <c:pt idx="3">
                  <c:v>323</c:v>
                </c:pt>
                <c:pt idx="4">
                  <c:v>424</c:v>
                </c:pt>
                <c:pt idx="5">
                  <c:v>454</c:v>
                </c:pt>
                <c:pt idx="6">
                  <c:v>461</c:v>
                </c:pt>
                <c:pt idx="7">
                  <c:v>467</c:v>
                </c:pt>
                <c:pt idx="8">
                  <c:v>616</c:v>
                </c:pt>
                <c:pt idx="9">
                  <c:v>627</c:v>
                </c:pt>
                <c:pt idx="10">
                  <c:v>751</c:v>
                </c:pt>
                <c:pt idx="11">
                  <c:v>753</c:v>
                </c:pt>
                <c:pt idx="12">
                  <c:v>757</c:v>
                </c:pt>
                <c:pt idx="13">
                  <c:v>781</c:v>
                </c:pt>
                <c:pt idx="14">
                  <c:v>833</c:v>
                </c:pt>
                <c:pt idx="15">
                  <c:v>837</c:v>
                </c:pt>
                <c:pt idx="16">
                  <c:v>845</c:v>
                </c:pt>
                <c:pt idx="17">
                  <c:v>852</c:v>
                </c:pt>
                <c:pt idx="18">
                  <c:v>858</c:v>
                </c:pt>
                <c:pt idx="19">
                  <c:v>930</c:v>
                </c:pt>
                <c:pt idx="20">
                  <c:v>986</c:v>
                </c:pt>
                <c:pt idx="21">
                  <c:v>1030</c:v>
                </c:pt>
                <c:pt idx="22">
                  <c:v>1237</c:v>
                </c:pt>
                <c:pt idx="23">
                  <c:v>1263</c:v>
                </c:pt>
                <c:pt idx="24">
                  <c:v>1280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leżajski</c:v>
                </c:pt>
                <c:pt idx="13">
                  <c:v>sanocki</c:v>
                </c:pt>
                <c:pt idx="14">
                  <c:v>niżański</c:v>
                </c:pt>
                <c:pt idx="15">
                  <c:v>Przemyśl</c:v>
                </c:pt>
                <c:pt idx="16">
                  <c:v>przeworski</c:v>
                </c:pt>
                <c:pt idx="17">
                  <c:v>przemyski</c:v>
                </c:pt>
                <c:pt idx="18">
                  <c:v>mielecki</c:v>
                </c:pt>
                <c:pt idx="19">
                  <c:v>strzyżowski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224</c:v>
                </c:pt>
                <c:pt idx="1">
                  <c:v>247</c:v>
                </c:pt>
                <c:pt idx="2">
                  <c:v>309</c:v>
                </c:pt>
                <c:pt idx="3">
                  <c:v>357</c:v>
                </c:pt>
                <c:pt idx="4">
                  <c:v>422</c:v>
                </c:pt>
                <c:pt idx="5">
                  <c:v>457</c:v>
                </c:pt>
                <c:pt idx="6">
                  <c:v>471</c:v>
                </c:pt>
                <c:pt idx="7">
                  <c:v>544</c:v>
                </c:pt>
                <c:pt idx="8">
                  <c:v>575</c:v>
                </c:pt>
                <c:pt idx="9">
                  <c:v>591</c:v>
                </c:pt>
                <c:pt idx="10">
                  <c:v>600</c:v>
                </c:pt>
                <c:pt idx="11">
                  <c:v>663</c:v>
                </c:pt>
                <c:pt idx="12">
                  <c:v>701</c:v>
                </c:pt>
                <c:pt idx="13">
                  <c:v>702</c:v>
                </c:pt>
                <c:pt idx="14">
                  <c:v>712</c:v>
                </c:pt>
                <c:pt idx="15">
                  <c:v>717</c:v>
                </c:pt>
                <c:pt idx="16">
                  <c:v>741</c:v>
                </c:pt>
                <c:pt idx="17">
                  <c:v>748</c:v>
                </c:pt>
                <c:pt idx="18">
                  <c:v>758</c:v>
                </c:pt>
                <c:pt idx="19">
                  <c:v>778</c:v>
                </c:pt>
                <c:pt idx="20">
                  <c:v>906</c:v>
                </c:pt>
                <c:pt idx="21">
                  <c:v>1114</c:v>
                </c:pt>
                <c:pt idx="22">
                  <c:v>1117</c:v>
                </c:pt>
                <c:pt idx="23">
                  <c:v>1178</c:v>
                </c:pt>
                <c:pt idx="24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przemyski</c:v>
                </c:pt>
                <c:pt idx="2">
                  <c:v>leski</c:v>
                </c:pt>
                <c:pt idx="3">
                  <c:v>krośnieński</c:v>
                </c:pt>
                <c:pt idx="4">
                  <c:v>sanocki</c:v>
                </c:pt>
                <c:pt idx="5">
                  <c:v>kolbuszowski</c:v>
                </c:pt>
                <c:pt idx="6">
                  <c:v>Krosno</c:v>
                </c:pt>
                <c:pt idx="7">
                  <c:v>Tarnobrzeg</c:v>
                </c:pt>
                <c:pt idx="8">
                  <c:v>Przemyśl</c:v>
                </c:pt>
                <c:pt idx="9">
                  <c:v>tarnobrzeski </c:v>
                </c:pt>
                <c:pt idx="10">
                  <c:v>ropczycko-sędziszowski</c:v>
                </c:pt>
                <c:pt idx="11">
                  <c:v>rzeszowski</c:v>
                </c:pt>
                <c:pt idx="12">
                  <c:v>łańcucki</c:v>
                </c:pt>
                <c:pt idx="13">
                  <c:v>stalowowolski</c:v>
                </c:pt>
                <c:pt idx="14">
                  <c:v>lubaczowski</c:v>
                </c:pt>
                <c:pt idx="15">
                  <c:v>brzozowski</c:v>
                </c:pt>
                <c:pt idx="16">
                  <c:v>strzyżowski</c:v>
                </c:pt>
                <c:pt idx="17">
                  <c:v>leżajski</c:v>
                </c:pt>
                <c:pt idx="18">
                  <c:v>niżański</c:v>
                </c:pt>
                <c:pt idx="19">
                  <c:v>jarosławski</c:v>
                </c:pt>
                <c:pt idx="20">
                  <c:v>przeworski</c:v>
                </c:pt>
                <c:pt idx="21">
                  <c:v>mielecki</c:v>
                </c:pt>
                <c:pt idx="22">
                  <c:v>jasielski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38</c:v>
                </c:pt>
                <c:pt idx="1">
                  <c:v>46</c:v>
                </c:pt>
                <c:pt idx="2">
                  <c:v>64</c:v>
                </c:pt>
                <c:pt idx="3">
                  <c:v>66</c:v>
                </c:pt>
                <c:pt idx="4">
                  <c:v>79</c:v>
                </c:pt>
                <c:pt idx="5">
                  <c:v>86</c:v>
                </c:pt>
                <c:pt idx="6">
                  <c:v>87</c:v>
                </c:pt>
                <c:pt idx="7">
                  <c:v>89</c:v>
                </c:pt>
                <c:pt idx="8">
                  <c:v>91</c:v>
                </c:pt>
                <c:pt idx="9">
                  <c:v>98</c:v>
                </c:pt>
                <c:pt idx="10">
                  <c:v>107</c:v>
                </c:pt>
                <c:pt idx="11">
                  <c:v>128</c:v>
                </c:pt>
                <c:pt idx="12">
                  <c:v>130</c:v>
                </c:pt>
                <c:pt idx="13">
                  <c:v>138</c:v>
                </c:pt>
                <c:pt idx="14">
                  <c:v>152</c:v>
                </c:pt>
                <c:pt idx="15">
                  <c:v>156</c:v>
                </c:pt>
                <c:pt idx="16">
                  <c:v>158</c:v>
                </c:pt>
                <c:pt idx="17">
                  <c:v>196</c:v>
                </c:pt>
                <c:pt idx="18">
                  <c:v>209</c:v>
                </c:pt>
                <c:pt idx="19">
                  <c:v>212</c:v>
                </c:pt>
                <c:pt idx="20">
                  <c:v>222</c:v>
                </c:pt>
                <c:pt idx="21">
                  <c:v>238</c:v>
                </c:pt>
                <c:pt idx="22">
                  <c:v>260</c:v>
                </c:pt>
                <c:pt idx="23">
                  <c:v>295</c:v>
                </c:pt>
                <c:pt idx="24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bieszczadzki</c:v>
                </c:pt>
                <c:pt idx="1">
                  <c:v>przemyski</c:v>
                </c:pt>
                <c:pt idx="2">
                  <c:v>kolbuszowski</c:v>
                </c:pt>
                <c:pt idx="3">
                  <c:v>krośnieński</c:v>
                </c:pt>
                <c:pt idx="4">
                  <c:v>leski</c:v>
                </c:pt>
                <c:pt idx="5">
                  <c:v>sanocki</c:v>
                </c:pt>
                <c:pt idx="6">
                  <c:v>Krosno</c:v>
                </c:pt>
                <c:pt idx="7">
                  <c:v>ropczycko-sędziszowski</c:v>
                </c:pt>
                <c:pt idx="8">
                  <c:v>Tarnobrzeg</c:v>
                </c:pt>
                <c:pt idx="9">
                  <c:v>Przemyśl</c:v>
                </c:pt>
                <c:pt idx="10">
                  <c:v>rzeszowski</c:v>
                </c:pt>
                <c:pt idx="11">
                  <c:v>dębicki</c:v>
                </c:pt>
                <c:pt idx="12">
                  <c:v>tarnobrzeski </c:v>
                </c:pt>
                <c:pt idx="13">
                  <c:v>stalowowolski</c:v>
                </c:pt>
                <c:pt idx="14">
                  <c:v>przeworski</c:v>
                </c:pt>
                <c:pt idx="15">
                  <c:v>Rzeszów</c:v>
                </c:pt>
                <c:pt idx="16">
                  <c:v>jarosławski</c:v>
                </c:pt>
                <c:pt idx="17">
                  <c:v>łańcucki</c:v>
                </c:pt>
                <c:pt idx="18">
                  <c:v>strzyżowski</c:v>
                </c:pt>
                <c:pt idx="19">
                  <c:v>lubaczowski</c:v>
                </c:pt>
                <c:pt idx="20">
                  <c:v>jasielski</c:v>
                </c:pt>
                <c:pt idx="21">
                  <c:v>mielecki</c:v>
                </c:pt>
                <c:pt idx="22">
                  <c:v>brzozowski</c:v>
                </c:pt>
                <c:pt idx="23">
                  <c:v>leżajski</c:v>
                </c:pt>
                <c:pt idx="24">
                  <c:v>niżański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20</c:v>
                </c:pt>
                <c:pt idx="1">
                  <c:v>40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49</c:v>
                </c:pt>
                <c:pt idx="7">
                  <c:v>55</c:v>
                </c:pt>
                <c:pt idx="8">
                  <c:v>57</c:v>
                </c:pt>
                <c:pt idx="9">
                  <c:v>61</c:v>
                </c:pt>
                <c:pt idx="10">
                  <c:v>64</c:v>
                </c:pt>
                <c:pt idx="11">
                  <c:v>69</c:v>
                </c:pt>
                <c:pt idx="12">
                  <c:v>69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92</c:v>
                </c:pt>
                <c:pt idx="17">
                  <c:v>98</c:v>
                </c:pt>
                <c:pt idx="18">
                  <c:v>98</c:v>
                </c:pt>
                <c:pt idx="19">
                  <c:v>104</c:v>
                </c:pt>
                <c:pt idx="20">
                  <c:v>111</c:v>
                </c:pt>
                <c:pt idx="21">
                  <c:v>118</c:v>
                </c:pt>
                <c:pt idx="22">
                  <c:v>152</c:v>
                </c:pt>
                <c:pt idx="23">
                  <c:v>166</c:v>
                </c:pt>
                <c:pt idx="24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152400</xdr:rowOff>
    </xdr:from>
    <xdr:to>
      <xdr:col>3</xdr:col>
      <xdr:colOff>485776</xdr:colOff>
      <xdr:row>3</xdr:row>
      <xdr:rowOff>142875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2009776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152400</xdr:rowOff>
    </xdr:from>
    <xdr:to>
      <xdr:col>7</xdr:col>
      <xdr:colOff>381000</xdr:colOff>
      <xdr:row>3</xdr:row>
      <xdr:rowOff>142875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876675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</xdr:row>
      <xdr:rowOff>0</xdr:rowOff>
    </xdr:from>
    <xdr:to>
      <xdr:col>11</xdr:col>
      <xdr:colOff>342900</xdr:colOff>
      <xdr:row>3</xdr:row>
      <xdr:rowOff>161925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5429250" y="48577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78</v>
      </c>
      <c r="D2" s="38" t="s">
        <v>77</v>
      </c>
      <c r="E2" s="37" t="s">
        <v>33</v>
      </c>
      <c r="F2" s="38" t="s">
        <v>79</v>
      </c>
      <c r="G2" s="37" t="s">
        <v>26</v>
      </c>
    </row>
    <row r="3" spans="2:7" x14ac:dyDescent="0.2">
      <c r="B3" s="5" t="s">
        <v>0</v>
      </c>
      <c r="C3" s="6">
        <v>1095</v>
      </c>
      <c r="D3" s="42">
        <v>1192</v>
      </c>
      <c r="E3" s="6">
        <f>SUM(C3)-D3</f>
        <v>-97</v>
      </c>
      <c r="F3" s="42">
        <v>1082</v>
      </c>
      <c r="G3" s="6">
        <f>SUM(C3)-F3</f>
        <v>13</v>
      </c>
    </row>
    <row r="4" spans="2:7" x14ac:dyDescent="0.2">
      <c r="B4" s="5" t="s">
        <v>1</v>
      </c>
      <c r="C4" s="6">
        <v>3773</v>
      </c>
      <c r="D4" s="42">
        <v>3912</v>
      </c>
      <c r="E4" s="6">
        <f t="shared" ref="E4:E26" si="0">SUM(C4)-D4</f>
        <v>-139</v>
      </c>
      <c r="F4" s="42">
        <v>3778</v>
      </c>
      <c r="G4" s="6">
        <f t="shared" ref="G4:G27" si="1">SUM(C4)-F4</f>
        <v>-5</v>
      </c>
    </row>
    <row r="5" spans="2:7" x14ac:dyDescent="0.2">
      <c r="B5" s="5" t="s">
        <v>2</v>
      </c>
      <c r="C5" s="6">
        <v>2407</v>
      </c>
      <c r="D5" s="42">
        <v>2493</v>
      </c>
      <c r="E5" s="6">
        <f t="shared" si="0"/>
        <v>-86</v>
      </c>
      <c r="F5" s="42">
        <v>2517</v>
      </c>
      <c r="G5" s="6">
        <f t="shared" si="1"/>
        <v>-110</v>
      </c>
    </row>
    <row r="6" spans="2:7" x14ac:dyDescent="0.2">
      <c r="B6" s="5" t="s">
        <v>3</v>
      </c>
      <c r="C6" s="6">
        <v>4643</v>
      </c>
      <c r="D6" s="42">
        <v>4930</v>
      </c>
      <c r="E6" s="6">
        <f t="shared" si="0"/>
        <v>-287</v>
      </c>
      <c r="F6" s="42">
        <v>4469</v>
      </c>
      <c r="G6" s="6">
        <f t="shared" si="1"/>
        <v>174</v>
      </c>
    </row>
    <row r="7" spans="2:7" x14ac:dyDescent="0.2">
      <c r="B7" s="5" t="s">
        <v>4</v>
      </c>
      <c r="C7" s="6">
        <v>4996</v>
      </c>
      <c r="D7" s="42">
        <v>5092</v>
      </c>
      <c r="E7" s="6">
        <f t="shared" si="0"/>
        <v>-96</v>
      </c>
      <c r="F7" s="42">
        <v>5146</v>
      </c>
      <c r="G7" s="6">
        <f t="shared" si="1"/>
        <v>-150</v>
      </c>
    </row>
    <row r="8" spans="2:7" x14ac:dyDescent="0.2">
      <c r="B8" s="5" t="s">
        <v>5</v>
      </c>
      <c r="C8" s="6">
        <v>1625</v>
      </c>
      <c r="D8" s="42">
        <v>1623</v>
      </c>
      <c r="E8" s="6">
        <f t="shared" si="0"/>
        <v>2</v>
      </c>
      <c r="F8" s="42">
        <v>1571</v>
      </c>
      <c r="G8" s="6">
        <f t="shared" si="1"/>
        <v>54</v>
      </c>
    </row>
    <row r="9" spans="2:7" x14ac:dyDescent="0.2">
      <c r="B9" s="9" t="s">
        <v>6</v>
      </c>
      <c r="C9" s="6">
        <v>2479</v>
      </c>
      <c r="D9" s="42">
        <v>2548</v>
      </c>
      <c r="E9" s="6">
        <f t="shared" si="0"/>
        <v>-69</v>
      </c>
      <c r="F9" s="42">
        <v>2407</v>
      </c>
      <c r="G9" s="6">
        <f t="shared" si="1"/>
        <v>72</v>
      </c>
    </row>
    <row r="10" spans="2:7" x14ac:dyDescent="0.2">
      <c r="B10" s="5" t="s">
        <v>7</v>
      </c>
      <c r="C10" s="6">
        <v>1701</v>
      </c>
      <c r="D10" s="42">
        <v>1763</v>
      </c>
      <c r="E10" s="6">
        <f t="shared" si="0"/>
        <v>-62</v>
      </c>
      <c r="F10" s="42">
        <v>1733</v>
      </c>
      <c r="G10" s="6">
        <f t="shared" si="1"/>
        <v>-32</v>
      </c>
    </row>
    <row r="11" spans="2:7" x14ac:dyDescent="0.2">
      <c r="B11" s="5" t="s">
        <v>8</v>
      </c>
      <c r="C11" s="6">
        <v>3010</v>
      </c>
      <c r="D11" s="42">
        <v>3187</v>
      </c>
      <c r="E11" s="6">
        <f t="shared" si="0"/>
        <v>-177</v>
      </c>
      <c r="F11" s="42">
        <v>3128</v>
      </c>
      <c r="G11" s="6">
        <f t="shared" si="1"/>
        <v>-118</v>
      </c>
    </row>
    <row r="12" spans="2:7" x14ac:dyDescent="0.2">
      <c r="B12" s="5" t="s">
        <v>9</v>
      </c>
      <c r="C12" s="6">
        <v>1708</v>
      </c>
      <c r="D12" s="42">
        <v>1793</v>
      </c>
      <c r="E12" s="6">
        <f t="shared" si="0"/>
        <v>-85</v>
      </c>
      <c r="F12" s="42">
        <v>1769</v>
      </c>
      <c r="G12" s="6">
        <f t="shared" si="1"/>
        <v>-61</v>
      </c>
    </row>
    <row r="13" spans="2:7" x14ac:dyDescent="0.2">
      <c r="B13" s="5" t="s">
        <v>10</v>
      </c>
      <c r="C13" s="6">
        <v>2552</v>
      </c>
      <c r="D13" s="42">
        <v>2641</v>
      </c>
      <c r="E13" s="6">
        <f t="shared" si="0"/>
        <v>-89</v>
      </c>
      <c r="F13" s="42">
        <v>2611</v>
      </c>
      <c r="G13" s="6">
        <f t="shared" si="1"/>
        <v>-59</v>
      </c>
    </row>
    <row r="14" spans="2:7" x14ac:dyDescent="0.2">
      <c r="B14" s="5" t="s">
        <v>11</v>
      </c>
      <c r="C14" s="6">
        <v>3166</v>
      </c>
      <c r="D14" s="42">
        <v>3238</v>
      </c>
      <c r="E14" s="6">
        <f t="shared" si="0"/>
        <v>-72</v>
      </c>
      <c r="F14" s="42">
        <v>2948</v>
      </c>
      <c r="G14" s="6">
        <f t="shared" si="1"/>
        <v>218</v>
      </c>
    </row>
    <row r="15" spans="2:7" x14ac:dyDescent="0.2">
      <c r="B15" s="5" t="s">
        <v>12</v>
      </c>
      <c r="C15" s="6">
        <v>2997</v>
      </c>
      <c r="D15" s="42">
        <v>3117</v>
      </c>
      <c r="E15" s="6">
        <f t="shared" si="0"/>
        <v>-120</v>
      </c>
      <c r="F15" s="42">
        <v>2984</v>
      </c>
      <c r="G15" s="6">
        <f t="shared" si="1"/>
        <v>13</v>
      </c>
    </row>
    <row r="16" spans="2:7" x14ac:dyDescent="0.2">
      <c r="B16" s="5" t="s">
        <v>13</v>
      </c>
      <c r="C16" s="6">
        <v>2930</v>
      </c>
      <c r="D16" s="42">
        <v>3067</v>
      </c>
      <c r="E16" s="6">
        <f t="shared" si="0"/>
        <v>-137</v>
      </c>
      <c r="F16" s="42">
        <v>2935</v>
      </c>
      <c r="G16" s="6">
        <f t="shared" si="1"/>
        <v>-5</v>
      </c>
    </row>
    <row r="17" spans="2:7" x14ac:dyDescent="0.2">
      <c r="B17" s="5" t="s">
        <v>14</v>
      </c>
      <c r="C17" s="6">
        <v>3391</v>
      </c>
      <c r="D17" s="42">
        <v>3438</v>
      </c>
      <c r="E17" s="6">
        <f t="shared" si="0"/>
        <v>-47</v>
      </c>
      <c r="F17" s="42">
        <v>3199</v>
      </c>
      <c r="G17" s="6">
        <f t="shared" si="1"/>
        <v>192</v>
      </c>
    </row>
    <row r="18" spans="2:7" x14ac:dyDescent="0.2">
      <c r="B18" s="5" t="s">
        <v>15</v>
      </c>
      <c r="C18" s="6">
        <v>2741</v>
      </c>
      <c r="D18" s="42">
        <v>2743</v>
      </c>
      <c r="E18" s="6">
        <f t="shared" si="0"/>
        <v>-2</v>
      </c>
      <c r="F18" s="42">
        <v>2609</v>
      </c>
      <c r="G18" s="6">
        <f t="shared" si="1"/>
        <v>132</v>
      </c>
    </row>
    <row r="19" spans="2:7" x14ac:dyDescent="0.2">
      <c r="B19" s="5" t="s">
        <v>16</v>
      </c>
      <c r="C19" s="6">
        <v>4650</v>
      </c>
      <c r="D19" s="42">
        <v>4727</v>
      </c>
      <c r="E19" s="6">
        <f t="shared" si="0"/>
        <v>-77</v>
      </c>
      <c r="F19" s="42">
        <v>4709</v>
      </c>
      <c r="G19" s="6">
        <f t="shared" si="1"/>
        <v>-59</v>
      </c>
    </row>
    <row r="20" spans="2:7" x14ac:dyDescent="0.2">
      <c r="B20" s="5" t="s">
        <v>17</v>
      </c>
      <c r="C20" s="6">
        <v>3097</v>
      </c>
      <c r="D20" s="42">
        <v>3080</v>
      </c>
      <c r="E20" s="6">
        <f t="shared" si="0"/>
        <v>17</v>
      </c>
      <c r="F20" s="42">
        <v>2883</v>
      </c>
      <c r="G20" s="6">
        <f t="shared" si="1"/>
        <v>214</v>
      </c>
    </row>
    <row r="21" spans="2:7" x14ac:dyDescent="0.2">
      <c r="B21" s="5" t="s">
        <v>18</v>
      </c>
      <c r="C21" s="6">
        <v>2304</v>
      </c>
      <c r="D21" s="42">
        <v>2331</v>
      </c>
      <c r="E21" s="6">
        <f t="shared" si="0"/>
        <v>-27</v>
      </c>
      <c r="F21" s="42">
        <v>2023</v>
      </c>
      <c r="G21" s="6">
        <f t="shared" si="1"/>
        <v>281</v>
      </c>
    </row>
    <row r="22" spans="2:7" x14ac:dyDescent="0.2">
      <c r="B22" s="5" t="s">
        <v>19</v>
      </c>
      <c r="C22" s="6">
        <v>3101</v>
      </c>
      <c r="D22" s="42">
        <v>3186</v>
      </c>
      <c r="E22" s="6">
        <f t="shared" si="0"/>
        <v>-85</v>
      </c>
      <c r="F22" s="42">
        <v>3133</v>
      </c>
      <c r="G22" s="6">
        <f t="shared" si="1"/>
        <v>-32</v>
      </c>
    </row>
    <row r="23" spans="2:7" x14ac:dyDescent="0.2">
      <c r="B23" s="5" t="s">
        <v>20</v>
      </c>
      <c r="C23" s="6">
        <v>1253</v>
      </c>
      <c r="D23" s="42">
        <v>1350</v>
      </c>
      <c r="E23" s="6">
        <f t="shared" si="0"/>
        <v>-97</v>
      </c>
      <c r="F23" s="42">
        <v>1298</v>
      </c>
      <c r="G23" s="6">
        <f t="shared" si="1"/>
        <v>-45</v>
      </c>
    </row>
    <row r="24" spans="2:7" x14ac:dyDescent="0.2">
      <c r="B24" s="5" t="s">
        <v>21</v>
      </c>
      <c r="C24" s="6">
        <v>882</v>
      </c>
      <c r="D24" s="42">
        <v>897</v>
      </c>
      <c r="E24" s="6">
        <f t="shared" si="0"/>
        <v>-15</v>
      </c>
      <c r="F24" s="42">
        <v>875</v>
      </c>
      <c r="G24" s="6">
        <f t="shared" si="1"/>
        <v>7</v>
      </c>
    </row>
    <row r="25" spans="2:7" x14ac:dyDescent="0.2">
      <c r="B25" s="5" t="s">
        <v>22</v>
      </c>
      <c r="C25" s="6">
        <v>2355</v>
      </c>
      <c r="D25" s="42">
        <v>2431</v>
      </c>
      <c r="E25" s="6">
        <f t="shared" si="0"/>
        <v>-76</v>
      </c>
      <c r="F25" s="42">
        <v>2357</v>
      </c>
      <c r="G25" s="6">
        <f t="shared" si="1"/>
        <v>-2</v>
      </c>
    </row>
    <row r="26" spans="2:7" x14ac:dyDescent="0.2">
      <c r="B26" s="5" t="s">
        <v>23</v>
      </c>
      <c r="C26" s="6">
        <v>5127</v>
      </c>
      <c r="D26" s="42">
        <v>5141</v>
      </c>
      <c r="E26" s="6">
        <f t="shared" si="0"/>
        <v>-14</v>
      </c>
      <c r="F26" s="42">
        <v>5114</v>
      </c>
      <c r="G26" s="6">
        <f t="shared" si="1"/>
        <v>13</v>
      </c>
    </row>
    <row r="27" spans="2:7" x14ac:dyDescent="0.2">
      <c r="B27" s="5" t="s">
        <v>24</v>
      </c>
      <c r="C27" s="6">
        <v>1048</v>
      </c>
      <c r="D27" s="42">
        <v>1110</v>
      </c>
      <c r="E27" s="6">
        <f>SUM(C27)-D27</f>
        <v>-62</v>
      </c>
      <c r="F27" s="42">
        <v>1121</v>
      </c>
      <c r="G27" s="6">
        <f t="shared" si="1"/>
        <v>-73</v>
      </c>
    </row>
    <row r="28" spans="2:7" ht="15" x14ac:dyDescent="0.25">
      <c r="B28" s="39" t="s">
        <v>25</v>
      </c>
      <c r="C28" s="40">
        <f>SUM(C3:C27)</f>
        <v>69031</v>
      </c>
      <c r="D28" s="41">
        <f>SUM(D3:D27)</f>
        <v>71030</v>
      </c>
      <c r="E28" s="40">
        <f>SUM(C28)-D28</f>
        <v>-1999</v>
      </c>
      <c r="F28" s="41">
        <f>SUM(F3:F27)</f>
        <v>68399</v>
      </c>
      <c r="G28" s="40">
        <f>SUM(C28)-F28</f>
        <v>632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31-03-'25 r.</v>
      </c>
      <c r="E3" s="36" t="str">
        <f>T('5do 30 r.ż.'!D2)</f>
        <v>liczba bezrobotnych do 30 r. ż. stan na 28-02-'25 r.</v>
      </c>
      <c r="F3" s="36" t="str">
        <f>T('5do 30 r.ż.'!E2)</f>
        <v>wzrost/spadek do poprzedniego  miesiąca</v>
      </c>
      <c r="G3" s="36" t="str">
        <f>T('5do 30 r.ż.'!F2)</f>
        <v>liczba bezrobotnych do 30 r. ż. stan na 31-03-'24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176</v>
      </c>
      <c r="E4" s="42">
        <f>INDEX('5do 30 r.ż.'!B3:G28,MATCH(1,B4:B29,0),3)</f>
        <v>188</v>
      </c>
      <c r="F4" s="6">
        <f>INDEX('5do 30 r.ż.'!B3:G28,MATCH(1,B4:B29,0),4)</f>
        <v>-12</v>
      </c>
      <c r="G4" s="42">
        <f>INDEX('5do 30 r.ż.'!B3:G28,MATCH(1,B4:B29,0),5)</f>
        <v>180</v>
      </c>
      <c r="H4" s="6">
        <f>INDEX('5do 30 r.ż.'!B3:G28,MATCH(1,B4:B29,0),6)</f>
        <v>-4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219</v>
      </c>
      <c r="E5" s="42">
        <f>INDEX('5do 30 r.ż.'!B3:G28,MATCH(2,B4:B29,0),3)</f>
        <v>246</v>
      </c>
      <c r="F5" s="6">
        <f>INDEX('5do 30 r.ż.'!B3:G28,MATCH(2,B4:B29,0),4)</f>
        <v>-27</v>
      </c>
      <c r="G5" s="42">
        <f>INDEX('5do 30 r.ż.'!B3:G28,MATCH(2,B4:B29,0),5)</f>
        <v>245</v>
      </c>
      <c r="H5" s="6">
        <f>INDEX('5do 30 r.ż.'!B3:G28,MATCH(2,B4:B29,0),6)</f>
        <v>-26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287</v>
      </c>
      <c r="E6" s="42">
        <f>INDEX('5do 30 r.ż.'!B3:G28,MATCH(3,B4:B29,0),3)</f>
        <v>331</v>
      </c>
      <c r="F6" s="6">
        <f>INDEX('5do 30 r.ż.'!B3:G28,MATCH(3,B4:B29,0),4)</f>
        <v>-44</v>
      </c>
      <c r="G6" s="42">
        <f>INDEX('5do 30 r.ż.'!B3:G28,MATCH(3,B4:B29,0),5)</f>
        <v>284</v>
      </c>
      <c r="H6" s="6">
        <f>INDEX('5do 30 r.ż.'!B3:G28,MATCH(3,B4:B29,0),6)</f>
        <v>3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323</v>
      </c>
      <c r="E7" s="42">
        <f>INDEX('5do 30 r.ż.'!B3:G28,MATCH(4,B4:B29,0),3)</f>
        <v>346</v>
      </c>
      <c r="F7" s="6">
        <f>INDEX('5do 30 r.ż.'!B3:G28,MATCH(4,B4:B29,0),4)</f>
        <v>-23</v>
      </c>
      <c r="G7" s="42">
        <f>INDEX('5do 30 r.ż.'!B3:G28,MATCH(4,B4:B29,0),5)</f>
        <v>351</v>
      </c>
      <c r="H7" s="6">
        <f>INDEX('5do 30 r.ż.'!B3:G28,MATCH(4,B4:B29,0),6)</f>
        <v>-28</v>
      </c>
    </row>
    <row r="8" spans="2:8" x14ac:dyDescent="0.2">
      <c r="B8" s="6">
        <f>RANK('5do 30 r.ż.'!C7,'5do 30 r.ż.'!$C$3:'5do 30 r.ż.'!$C$28,1)+COUNTIF('5do 30 r.ż.'!$C$3:'5do 30 r.ż.'!C7,'5do 30 r.ż.'!C7)-1</f>
        <v>25</v>
      </c>
      <c r="C8" s="5" t="str">
        <f>INDEX('5do 30 r.ż.'!B3:G28,MATCH(5,B4:B29,0),1)</f>
        <v>leski</v>
      </c>
      <c r="D8" s="6">
        <f>INDEX('5do 30 r.ż.'!B3:G28,MATCH(5,B4:B29,0),2)</f>
        <v>424</v>
      </c>
      <c r="E8" s="42">
        <f>INDEX('5do 30 r.ż.'!B3:G28,MATCH(5,B4:B29,0),3)</f>
        <v>438</v>
      </c>
      <c r="F8" s="6">
        <f>INDEX('5do 30 r.ż.'!B3:G28,MATCH(5,B4:B29,0),4)</f>
        <v>-14</v>
      </c>
      <c r="G8" s="42">
        <f>INDEX('5do 30 r.ż.'!B3:G28,MATCH(5,B4:B29,0),5)</f>
        <v>430</v>
      </c>
      <c r="H8" s="6">
        <f>INDEX('5do 30 r.ż.'!B3:G28,MATCH(5,B4:B29,0),6)</f>
        <v>-6</v>
      </c>
    </row>
    <row r="9" spans="2:8" x14ac:dyDescent="0.2">
      <c r="B9" s="6">
        <f>RANK('5do 30 r.ż.'!C8,'5do 30 r.ż.'!$C$3:'5do 30 r.ż.'!$C$28,1)+COUNTIF('5do 30 r.ż.'!$C$3:'5do 30 r.ż.'!C8,'5do 30 r.ż.'!C8)-1</f>
        <v>8</v>
      </c>
      <c r="C9" s="5" t="str">
        <f>INDEX('5do 30 r.ż.'!B3:G28,MATCH(6,B4:B29,0),1)</f>
        <v>Przemyśl</v>
      </c>
      <c r="D9" s="6">
        <f>INDEX('5do 30 r.ż.'!B3:G28,MATCH(6,B4:B29,0),2)</f>
        <v>454</v>
      </c>
      <c r="E9" s="42">
        <f>INDEX('5do 30 r.ż.'!B3:G28,MATCH(6,B4:B29,0),3)</f>
        <v>483</v>
      </c>
      <c r="F9" s="6">
        <f>INDEX('5do 30 r.ż.'!B3:G28,MATCH(6,B4:B29,0),4)</f>
        <v>-29</v>
      </c>
      <c r="G9" s="42">
        <f>INDEX('5do 30 r.ż.'!B3:G28,MATCH(6,B4:B29,0),5)</f>
        <v>418</v>
      </c>
      <c r="H9" s="6">
        <f>INDEX('5do 30 r.ż.'!B3:G28,MATCH(6,B4:B29,0),6)</f>
        <v>36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lubaczowski</v>
      </c>
      <c r="D10" s="6">
        <f>INDEX('5do 30 r.ż.'!B3:G28,MATCH(7,B4:B29,0),2)</f>
        <v>461</v>
      </c>
      <c r="E10" s="42">
        <f>INDEX('5do 30 r.ż.'!B3:G28,MATCH(7,B4:B29,0),3)</f>
        <v>514</v>
      </c>
      <c r="F10" s="6">
        <f>INDEX('5do 30 r.ż.'!B3:G28,MATCH(7,B4:B29,0),4)</f>
        <v>-53</v>
      </c>
      <c r="G10" s="42">
        <f>INDEX('5do 30 r.ż.'!B3:G28,MATCH(7,B4:B29,0),5)</f>
        <v>495</v>
      </c>
      <c r="H10" s="6">
        <f>INDEX('5do 30 r.ż.'!B3:G28,MATCH(7,B4:B29,0),6)</f>
        <v>-34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kolbuszowski</v>
      </c>
      <c r="D11" s="6">
        <f>INDEX('5do 30 r.ż.'!B3:G28,MATCH(8,B4:B29,0),2)</f>
        <v>467</v>
      </c>
      <c r="E11" s="42">
        <f>INDEX('5do 30 r.ż.'!B3:G28,MATCH(8,B4:B29,0),3)</f>
        <v>462</v>
      </c>
      <c r="F11" s="6">
        <f>INDEX('5do 30 r.ż.'!B3:G28,MATCH(8,B4:B29,0),4)</f>
        <v>5</v>
      </c>
      <c r="G11" s="42">
        <f>INDEX('5do 30 r.ż.'!B3:G28,MATCH(8,B4:B29,0),5)</f>
        <v>429</v>
      </c>
      <c r="H11" s="6">
        <f>INDEX('5do 30 r.ż.'!B3:G28,MATCH(8,B4:B29,0),6)</f>
        <v>38</v>
      </c>
    </row>
    <row r="12" spans="2:8" x14ac:dyDescent="0.2">
      <c r="B12" s="6">
        <f>RANK('5do 30 r.ż.'!C11,'5do 30 r.ż.'!$C$3:'5do 30 r.ż.'!$C$28,1)+COUNTIF('5do 30 r.ż.'!$C$3:'5do 30 r.ż.'!C11,'5do 30 r.ż.'!C11)-1</f>
        <v>16</v>
      </c>
      <c r="C12" s="5" t="str">
        <f>INDEX('5do 30 r.ż.'!B3:G28,MATCH(9,B4:B29,0),1)</f>
        <v>stalowowolski</v>
      </c>
      <c r="D12" s="6">
        <f>INDEX('5do 30 r.ż.'!B3:G28,MATCH(9,B4:B29,0),2)</f>
        <v>616</v>
      </c>
      <c r="E12" s="42">
        <f>INDEX('5do 30 r.ż.'!B3:G28,MATCH(9,B4:B29,0),3)</f>
        <v>636</v>
      </c>
      <c r="F12" s="6">
        <f>INDEX('5do 30 r.ż.'!B3:G28,MATCH(9,B4:B29,0),4)</f>
        <v>-20</v>
      </c>
      <c r="G12" s="42">
        <f>INDEX('5do 30 r.ż.'!B3:G28,MATCH(9,B4:B29,0),5)</f>
        <v>552</v>
      </c>
      <c r="H12" s="6">
        <f>INDEX('5do 30 r.ż.'!B3:G28,MATCH(9,B4:B29,0),6)</f>
        <v>64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krośnieński</v>
      </c>
      <c r="D13" s="6">
        <f>INDEX('5do 30 r.ż.'!B3:G28,MATCH(10,B4:B29,0),2)</f>
        <v>627</v>
      </c>
      <c r="E13" s="42">
        <f>INDEX('5do 30 r.ż.'!B3:G28,MATCH(10,B4:B29,0),3)</f>
        <v>698</v>
      </c>
      <c r="F13" s="6">
        <f>INDEX('5do 30 r.ż.'!B3:G28,MATCH(10,B4:B29,0),4)</f>
        <v>-71</v>
      </c>
      <c r="G13" s="42">
        <f>INDEX('5do 30 r.ż.'!B3:G28,MATCH(10,B4:B29,0),5)</f>
        <v>658</v>
      </c>
      <c r="H13" s="6">
        <f>INDEX('5do 30 r.ż.'!B3:G28,MATCH(10,B4:B29,0),6)</f>
        <v>-31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751</v>
      </c>
      <c r="E14" s="42">
        <f>INDEX('5do 30 r.ż.'!B3:G28,MATCH(11,B4:B29,0),3)</f>
        <v>794</v>
      </c>
      <c r="F14" s="6">
        <f>INDEX('5do 30 r.ż.'!B3:G28,MATCH(11,B4:B29,0),4)</f>
        <v>-43</v>
      </c>
      <c r="G14" s="42">
        <f>INDEX('5do 30 r.ż.'!B3:G28,MATCH(11,B4:B29,0),5)</f>
        <v>716</v>
      </c>
      <c r="H14" s="6">
        <f>INDEX('5do 30 r.ż.'!B3:G28,MATCH(11,B4:B29,0),6)</f>
        <v>35</v>
      </c>
    </row>
    <row r="15" spans="2:8" x14ac:dyDescent="0.2">
      <c r="B15" s="6">
        <f>RANK('5do 30 r.ż.'!C14,'5do 30 r.ż.'!$C$3:'5do 30 r.ż.'!$C$28,1)+COUNTIF('5do 30 r.ż.'!$C$3:'5do 30 r.ż.'!C14,'5do 30 r.ż.'!C14)-1</f>
        <v>15</v>
      </c>
      <c r="C15" s="5" t="str">
        <f>INDEX('5do 30 r.ż.'!B3:G28,MATCH(12,B4:B29,0),1)</f>
        <v>łańcucki</v>
      </c>
      <c r="D15" s="6">
        <f>INDEX('5do 30 r.ż.'!B3:G28,MATCH(12,B4:B29,0),2)</f>
        <v>753</v>
      </c>
      <c r="E15" s="42">
        <f>INDEX('5do 30 r.ż.'!B3:G28,MATCH(12,B4:B29,0),3)</f>
        <v>798</v>
      </c>
      <c r="F15" s="6">
        <f>INDEX('5do 30 r.ż.'!B3:G28,MATCH(12,B4:B29,0),4)</f>
        <v>-45</v>
      </c>
      <c r="G15" s="42">
        <f>INDEX('5do 30 r.ż.'!B3:G28,MATCH(12,B4:B29,0),5)</f>
        <v>773</v>
      </c>
      <c r="H15" s="6">
        <f>INDEX('5do 30 r.ż.'!B3:G28,MATCH(12,B4:B29,0),6)</f>
        <v>-20</v>
      </c>
    </row>
    <row r="16" spans="2:8" x14ac:dyDescent="0.2">
      <c r="B16" s="6">
        <f>RANK('5do 30 r.ż.'!C15,'5do 30 r.ż.'!$C$3:'5do 30 r.ż.'!$C$28,1)+COUNTIF('5do 30 r.ż.'!$C$3:'5do 30 r.ż.'!C15,'5do 30 r.ż.'!C15)-1</f>
        <v>14</v>
      </c>
      <c r="C16" s="5" t="str">
        <f>INDEX('5do 30 r.ż.'!B3:G28,MATCH(13,B4:B29,0),1)</f>
        <v>przemyski</v>
      </c>
      <c r="D16" s="6">
        <f>INDEX('5do 30 r.ż.'!B3:G28,MATCH(13,B4:B29,0),2)</f>
        <v>757</v>
      </c>
      <c r="E16" s="42">
        <f>INDEX('5do 30 r.ż.'!B3:G28,MATCH(13,B4:B29,0),3)</f>
        <v>817</v>
      </c>
      <c r="F16" s="6">
        <f>INDEX('5do 30 r.ż.'!B3:G28,MATCH(13,B4:B29,0),4)</f>
        <v>-60</v>
      </c>
      <c r="G16" s="42">
        <f>INDEX('5do 30 r.ż.'!B3:G28,MATCH(13,B4:B29,0),5)</f>
        <v>806</v>
      </c>
      <c r="H16" s="6">
        <f>INDEX('5do 30 r.ż.'!B3:G28,MATCH(13,B4:B29,0),6)</f>
        <v>-49</v>
      </c>
    </row>
    <row r="17" spans="2:8" x14ac:dyDescent="0.2">
      <c r="B17" s="6">
        <f>RANK('5do 30 r.ż.'!C16,'5do 30 r.ż.'!$C$3:'5do 30 r.ż.'!$C$28,1)+COUNTIF('5do 30 r.ż.'!$C$3:'5do 30 r.ż.'!C16,'5do 30 r.ż.'!C16)-1</f>
        <v>13</v>
      </c>
      <c r="C17" s="5" t="str">
        <f>INDEX('5do 30 r.ż.'!B3:G28,MATCH(14,B4:B29,0),1)</f>
        <v>niżański</v>
      </c>
      <c r="D17" s="6">
        <f>INDEX('5do 30 r.ż.'!B3:G28,MATCH(14,B4:B29,0),2)</f>
        <v>781</v>
      </c>
      <c r="E17" s="42">
        <f>INDEX('5do 30 r.ż.'!B3:G28,MATCH(14,B4:B29,0),3)</f>
        <v>845</v>
      </c>
      <c r="F17" s="6">
        <f>INDEX('5do 30 r.ż.'!B3:G28,MATCH(14,B4:B29,0),4)</f>
        <v>-64</v>
      </c>
      <c r="G17" s="42">
        <f>INDEX('5do 30 r.ż.'!B3:G28,MATCH(14,B4:B29,0),5)</f>
        <v>772</v>
      </c>
      <c r="H17" s="6">
        <f>INDEX('5do 30 r.ż.'!B3:G28,MATCH(14,B4:B29,0),6)</f>
        <v>9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mielecki</v>
      </c>
      <c r="D18" s="6">
        <f>INDEX('5do 30 r.ż.'!B3:G28,MATCH(15,B4:B29,0),2)</f>
        <v>833</v>
      </c>
      <c r="E18" s="42">
        <f>INDEX('5do 30 r.ż.'!B3:G28,MATCH(15,B4:B29,0),3)</f>
        <v>866</v>
      </c>
      <c r="F18" s="6">
        <f>INDEX('5do 30 r.ż.'!B3:G28,MATCH(15,B4:B29,0),4)</f>
        <v>-33</v>
      </c>
      <c r="G18" s="42">
        <f>INDEX('5do 30 r.ż.'!B3:G28,MATCH(15,B4:B29,0),5)</f>
        <v>767</v>
      </c>
      <c r="H18" s="6">
        <f>INDEX('5do 30 r.ż.'!B3:G28,MATCH(15,B4:B29,0),6)</f>
        <v>66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leżajski</v>
      </c>
      <c r="D19" s="6">
        <f>INDEX('5do 30 r.ż.'!B3:G28,MATCH(16,B4:B29,0),2)</f>
        <v>837</v>
      </c>
      <c r="E19" s="42">
        <f>INDEX('5do 30 r.ż.'!B3:G28,MATCH(16,B4:B29,0),3)</f>
        <v>957</v>
      </c>
      <c r="F19" s="6">
        <f>INDEX('5do 30 r.ż.'!B3:G28,MATCH(16,B4:B29,0),4)</f>
        <v>-120</v>
      </c>
      <c r="G19" s="42">
        <f>INDEX('5do 30 r.ż.'!B3:G28,MATCH(16,B4:B29,0),5)</f>
        <v>867</v>
      </c>
      <c r="H19" s="6">
        <f>INDEX('5do 30 r.ż.'!B3:G28,MATCH(16,B4:B29,0),6)</f>
        <v>-30</v>
      </c>
    </row>
    <row r="20" spans="2:8" x14ac:dyDescent="0.2">
      <c r="B20" s="6">
        <f>RANK('5do 30 r.ż.'!C19,'5do 30 r.ż.'!$C$3:'5do 30 r.ż.'!$C$28,1)+COUNTIF('5do 30 r.ż.'!$C$3:'5do 30 r.ż.'!C19,'5do 30 r.ż.'!C19)-1</f>
        <v>24</v>
      </c>
      <c r="C20" s="5" t="str">
        <f>INDEX('5do 30 r.ż.'!B3:G28,MATCH(17,B4:B29,0),1)</f>
        <v>strzyżowski</v>
      </c>
      <c r="D20" s="6">
        <f>INDEX('5do 30 r.ż.'!B3:G28,MATCH(17,B4:B29,0),2)</f>
        <v>845</v>
      </c>
      <c r="E20" s="42">
        <f>INDEX('5do 30 r.ż.'!B3:G28,MATCH(17,B4:B29,0),3)</f>
        <v>888</v>
      </c>
      <c r="F20" s="6">
        <f>INDEX('5do 30 r.ż.'!B3:G28,MATCH(17,B4:B29,0),4)</f>
        <v>-43</v>
      </c>
      <c r="G20" s="42">
        <f>INDEX('5do 30 r.ż.'!B3:G28,MATCH(17,B4:B29,0),5)</f>
        <v>851</v>
      </c>
      <c r="H20" s="6">
        <f>INDEX('5do 30 r.ż.'!B3:G28,MATCH(17,B4:B29,0),6)</f>
        <v>-6</v>
      </c>
    </row>
    <row r="21" spans="2:8" x14ac:dyDescent="0.2">
      <c r="B21" s="6">
        <f>RANK('5do 30 r.ż.'!C20,'5do 30 r.ż.'!$C$3:'5do 30 r.ż.'!$C$28,1)+COUNTIF('5do 30 r.ż.'!$C$3:'5do 30 r.ż.'!C20,'5do 30 r.ż.'!C20)-1</f>
        <v>18</v>
      </c>
      <c r="C21" s="5" t="str">
        <f>INDEX('5do 30 r.ż.'!B3:G28,MATCH(18,B4:B29,0),1)</f>
        <v>sanocki</v>
      </c>
      <c r="D21" s="6">
        <f>INDEX('5do 30 r.ż.'!B3:G28,MATCH(18,B4:B29,0),2)</f>
        <v>852</v>
      </c>
      <c r="E21" s="42">
        <f>INDEX('5do 30 r.ż.'!B3:G28,MATCH(18,B4:B29,0),3)</f>
        <v>846</v>
      </c>
      <c r="F21" s="6">
        <f>INDEX('5do 30 r.ż.'!B3:G28,MATCH(18,B4:B29,0),4)</f>
        <v>6</v>
      </c>
      <c r="G21" s="42">
        <f>INDEX('5do 30 r.ż.'!B3:G28,MATCH(18,B4:B29,0),5)</f>
        <v>789</v>
      </c>
      <c r="H21" s="6">
        <f>INDEX('5do 30 r.ż.'!B3:G28,MATCH(18,B4:B29,0),6)</f>
        <v>63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ropczycko-sędziszowski</v>
      </c>
      <c r="D22" s="6">
        <f>INDEX('5do 30 r.ż.'!B3:G28,MATCH(19,B4:B29,0),2)</f>
        <v>858</v>
      </c>
      <c r="E22" s="42">
        <f>INDEX('5do 30 r.ż.'!B3:G28,MATCH(19,B4:B29,0),3)</f>
        <v>877</v>
      </c>
      <c r="F22" s="6">
        <f>INDEX('5do 30 r.ż.'!B3:G28,MATCH(19,B4:B29,0),4)</f>
        <v>-19</v>
      </c>
      <c r="G22" s="42">
        <f>INDEX('5do 30 r.ż.'!B3:G28,MATCH(19,B4:B29,0),5)</f>
        <v>780</v>
      </c>
      <c r="H22" s="6">
        <f>INDEX('5do 30 r.ż.'!B3:G28,MATCH(19,B4:B29,0),6)</f>
        <v>78</v>
      </c>
    </row>
    <row r="23" spans="2:8" x14ac:dyDescent="0.2">
      <c r="B23" s="6">
        <f>RANK('5do 30 r.ż.'!C22,'5do 30 r.ż.'!$C$3:'5do 30 r.ż.'!$C$28,1)+COUNTIF('5do 30 r.ż.'!$C$3:'5do 30 r.ż.'!C22,'5do 30 r.ż.'!C22)-1</f>
        <v>17</v>
      </c>
      <c r="C23" s="5" t="str">
        <f>INDEX('5do 30 r.ż.'!B3:G28,MATCH(20,B4:B29,0),1)</f>
        <v>przeworski</v>
      </c>
      <c r="D23" s="6">
        <f>INDEX('5do 30 r.ż.'!B3:G28,MATCH(20,B4:B29,0),2)</f>
        <v>930</v>
      </c>
      <c r="E23" s="42">
        <f>INDEX('5do 30 r.ż.'!B3:G28,MATCH(20,B4:B29,0),3)</f>
        <v>966</v>
      </c>
      <c r="F23" s="6">
        <f>INDEX('5do 30 r.ż.'!B3:G28,MATCH(20,B4:B29,0),4)</f>
        <v>-36</v>
      </c>
      <c r="G23" s="42">
        <f>INDEX('5do 30 r.ż.'!B3:G28,MATCH(20,B4:B29,0),5)</f>
        <v>883</v>
      </c>
      <c r="H23" s="6">
        <f>INDEX('5do 30 r.ż.'!B3:G28,MATCH(20,B4:B29,0),6)</f>
        <v>47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Rzeszów</v>
      </c>
      <c r="D24" s="6">
        <f>INDEX('5do 30 r.ż.'!B3:G28,MATCH(21,B4:B29,0),2)</f>
        <v>986</v>
      </c>
      <c r="E24" s="42">
        <f>INDEX('5do 30 r.ż.'!B3:G28,MATCH(21,B4:B29,0),3)</f>
        <v>1012</v>
      </c>
      <c r="F24" s="6">
        <f>INDEX('5do 30 r.ż.'!B3:G28,MATCH(21,B4:B29,0),4)</f>
        <v>-26</v>
      </c>
      <c r="G24" s="42">
        <f>INDEX('5do 30 r.ż.'!B3:G28,MATCH(21,B4:B29,0),5)</f>
        <v>968</v>
      </c>
      <c r="H24" s="6">
        <f>INDEX('5do 30 r.ż.'!B3:G28,MATCH(21,B4:B29,0),6)</f>
        <v>18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1030</v>
      </c>
      <c r="E25" s="42">
        <f>INDEX('5do 30 r.ż.'!B3:G28,MATCH(22,B4:B29,0),3)</f>
        <v>1082</v>
      </c>
      <c r="F25" s="6">
        <f>INDEX('5do 30 r.ż.'!B3:G28,MATCH(22,B4:B29,0),4)</f>
        <v>-52</v>
      </c>
      <c r="G25" s="42">
        <f>INDEX('5do 30 r.ż.'!B3:G28,MATCH(22,B4:B29,0),5)</f>
        <v>994</v>
      </c>
      <c r="H25" s="6">
        <f>INDEX('5do 30 r.ż.'!B3:G28,MATCH(22,B4:B29,0),6)</f>
        <v>36</v>
      </c>
    </row>
    <row r="26" spans="2:8" x14ac:dyDescent="0.2">
      <c r="B26" s="6">
        <f>RANK('5do 30 r.ż.'!C25,'5do 30 r.ż.'!$C$3:'5do 30 r.ż.'!$C$28,1)+COUNTIF('5do 30 r.ż.'!$C$3:'5do 30 r.ż.'!C25,'5do 30 r.ż.'!C25)-1</f>
        <v>6</v>
      </c>
      <c r="C26" s="5" t="str">
        <f>INDEX('5do 30 r.ż.'!B3:G28,MATCH(23,B4:B29,0),1)</f>
        <v>jarosławski</v>
      </c>
      <c r="D26" s="6">
        <f>INDEX('5do 30 r.ż.'!B3:G28,MATCH(23,B4:B29,0),2)</f>
        <v>1237</v>
      </c>
      <c r="E26" s="42">
        <f>INDEX('5do 30 r.ż.'!B3:G28,MATCH(23,B4:B29,0),3)</f>
        <v>1355</v>
      </c>
      <c r="F26" s="6">
        <f>INDEX('5do 30 r.ż.'!B3:G28,MATCH(23,B4:B29,0),4)</f>
        <v>-118</v>
      </c>
      <c r="G26" s="42">
        <f>INDEX('5do 30 r.ż.'!B3:G28,MATCH(23,B4:B29,0),5)</f>
        <v>1196</v>
      </c>
      <c r="H26" s="6">
        <f>INDEX('5do 30 r.ż.'!B3:G28,MATCH(23,B4:B29,0),6)</f>
        <v>41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rzeszowski</v>
      </c>
      <c r="D27" s="6">
        <f>INDEX('5do 30 r.ż.'!B3:G28,MATCH(24,B4:B29,0),2)</f>
        <v>1263</v>
      </c>
      <c r="E27" s="42">
        <f>INDEX('5do 30 r.ż.'!B3:G28,MATCH(24,B4:B29,0),3)</f>
        <v>1298</v>
      </c>
      <c r="F27" s="6">
        <f>INDEX('5do 30 r.ż.'!B3:G28,MATCH(24,B4:B29,0),4)</f>
        <v>-35</v>
      </c>
      <c r="G27" s="42">
        <f>INDEX('5do 30 r.ż.'!B3:G28,MATCH(24,B4:B29,0),5)</f>
        <v>1273</v>
      </c>
      <c r="H27" s="6">
        <f>INDEX('5do 30 r.ż.'!B3:G28,MATCH(24,B4:B29,0),6)</f>
        <v>-10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jasielski</v>
      </c>
      <c r="D28" s="6">
        <f>INDEX('5do 30 r.ż.'!B3:G28,MATCH(25,B4:B29,0),2)</f>
        <v>1280</v>
      </c>
      <c r="E28" s="42">
        <f>INDEX('5do 30 r.ż.'!B3:G28,MATCH(25,B4:B29,0),3)</f>
        <v>1337</v>
      </c>
      <c r="F28" s="6">
        <f>INDEX('5do 30 r.ż.'!B3:G28,MATCH(25,B4:B29,0),4)</f>
        <v>-57</v>
      </c>
      <c r="G28" s="42">
        <f>INDEX('5do 30 r.ż.'!B3:G28,MATCH(25,B4:B29,0),5)</f>
        <v>1325</v>
      </c>
      <c r="H28" s="6">
        <f>INDEX('5do 30 r.ż.'!B3:G28,MATCH(25,B4:B29,0),6)</f>
        <v>-45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18047</v>
      </c>
      <c r="E29" s="44">
        <f>INDEX('5do 30 r.ż.'!B3:G28,MATCH(26,B4:B29,0),3)</f>
        <v>19080</v>
      </c>
      <c r="F29" s="40">
        <f>INDEX('5do 30 r.ż.'!B3:G28,MATCH(26,B4:B29,0),4)</f>
        <v>-1033</v>
      </c>
      <c r="G29" s="44">
        <f>INDEX('5do 30 r.ż.'!B3:G28,MATCH(26,B4:B29,0),5)</f>
        <v>17802</v>
      </c>
      <c r="H29" s="40">
        <f>INDEX('5do 30 r.ż.'!B3:G28,MATCH(26,B4:B29,0),6)</f>
        <v>245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92</v>
      </c>
      <c r="D2" s="38" t="s">
        <v>93</v>
      </c>
      <c r="E2" s="37" t="s">
        <v>28</v>
      </c>
      <c r="F2" s="38" t="s">
        <v>91</v>
      </c>
      <c r="G2" s="37" t="s">
        <v>26</v>
      </c>
    </row>
    <row r="3" spans="2:8" x14ac:dyDescent="0.2">
      <c r="B3" s="5" t="s">
        <v>0</v>
      </c>
      <c r="C3" s="28">
        <v>247</v>
      </c>
      <c r="D3" s="42">
        <v>257</v>
      </c>
      <c r="E3" s="28">
        <f t="shared" ref="E3:E27" si="0">SUM(C3)-D3</f>
        <v>-10</v>
      </c>
      <c r="F3" s="42">
        <v>250</v>
      </c>
      <c r="G3" s="28">
        <f t="shared" ref="G3:G27" si="1">SUM(C3)-F3</f>
        <v>-3</v>
      </c>
      <c r="H3" s="7"/>
    </row>
    <row r="4" spans="2:8" x14ac:dyDescent="0.2">
      <c r="B4" s="5" t="s">
        <v>1</v>
      </c>
      <c r="C4" s="28">
        <v>906</v>
      </c>
      <c r="D4" s="42">
        <v>928</v>
      </c>
      <c r="E4" s="28">
        <f t="shared" si="0"/>
        <v>-22</v>
      </c>
      <c r="F4" s="42">
        <v>958</v>
      </c>
      <c r="G4" s="28">
        <f t="shared" si="1"/>
        <v>-52</v>
      </c>
      <c r="H4" s="7"/>
    </row>
    <row r="5" spans="2:8" x14ac:dyDescent="0.2">
      <c r="B5" s="5" t="s">
        <v>2</v>
      </c>
      <c r="C5" s="28">
        <v>544</v>
      </c>
      <c r="D5" s="42">
        <v>559</v>
      </c>
      <c r="E5" s="28">
        <f t="shared" si="0"/>
        <v>-15</v>
      </c>
      <c r="F5" s="42">
        <v>593</v>
      </c>
      <c r="G5" s="28">
        <f t="shared" si="1"/>
        <v>-49</v>
      </c>
      <c r="H5" s="7"/>
    </row>
    <row r="6" spans="2:8" x14ac:dyDescent="0.2">
      <c r="B6" s="5" t="s">
        <v>3</v>
      </c>
      <c r="C6" s="28">
        <v>1117</v>
      </c>
      <c r="D6" s="42">
        <v>1153</v>
      </c>
      <c r="E6" s="28">
        <f t="shared" si="0"/>
        <v>-36</v>
      </c>
      <c r="F6" s="42">
        <v>1066</v>
      </c>
      <c r="G6" s="28">
        <f t="shared" si="1"/>
        <v>51</v>
      </c>
      <c r="H6" s="7"/>
    </row>
    <row r="7" spans="2:8" x14ac:dyDescent="0.2">
      <c r="B7" s="5" t="s">
        <v>4</v>
      </c>
      <c r="C7" s="28">
        <v>1178</v>
      </c>
      <c r="D7" s="42">
        <v>1211</v>
      </c>
      <c r="E7" s="28">
        <f t="shared" si="0"/>
        <v>-33</v>
      </c>
      <c r="F7" s="42">
        <v>1185</v>
      </c>
      <c r="G7" s="28">
        <f t="shared" si="1"/>
        <v>-7</v>
      </c>
      <c r="H7" s="7"/>
    </row>
    <row r="8" spans="2:8" x14ac:dyDescent="0.2">
      <c r="B8" s="5" t="s">
        <v>5</v>
      </c>
      <c r="C8" s="28">
        <v>422</v>
      </c>
      <c r="D8" s="42">
        <v>425</v>
      </c>
      <c r="E8" s="28">
        <f t="shared" si="0"/>
        <v>-3</v>
      </c>
      <c r="F8" s="42">
        <v>419</v>
      </c>
      <c r="G8" s="28">
        <f t="shared" si="1"/>
        <v>3</v>
      </c>
      <c r="H8" s="7"/>
    </row>
    <row r="9" spans="2:8" x14ac:dyDescent="0.2">
      <c r="B9" s="9" t="s">
        <v>6</v>
      </c>
      <c r="C9" s="28">
        <v>663</v>
      </c>
      <c r="D9" s="42">
        <v>660</v>
      </c>
      <c r="E9" s="28">
        <f t="shared" si="0"/>
        <v>3</v>
      </c>
      <c r="F9" s="42">
        <v>613</v>
      </c>
      <c r="G9" s="28">
        <f t="shared" si="1"/>
        <v>50</v>
      </c>
      <c r="H9" s="7"/>
    </row>
    <row r="10" spans="2:8" x14ac:dyDescent="0.2">
      <c r="B10" s="5" t="s">
        <v>7</v>
      </c>
      <c r="C10" s="28">
        <v>457</v>
      </c>
      <c r="D10" s="42">
        <v>464</v>
      </c>
      <c r="E10" s="28">
        <f t="shared" si="0"/>
        <v>-7</v>
      </c>
      <c r="F10" s="42">
        <v>439</v>
      </c>
      <c r="G10" s="28">
        <f t="shared" si="1"/>
        <v>18</v>
      </c>
      <c r="H10" s="7"/>
    </row>
    <row r="11" spans="2:8" x14ac:dyDescent="0.2">
      <c r="B11" s="5" t="s">
        <v>8</v>
      </c>
      <c r="C11" s="28">
        <v>701</v>
      </c>
      <c r="D11" s="42">
        <v>702</v>
      </c>
      <c r="E11" s="28">
        <f t="shared" si="0"/>
        <v>-1</v>
      </c>
      <c r="F11" s="42">
        <v>750</v>
      </c>
      <c r="G11" s="28">
        <f t="shared" si="1"/>
        <v>-49</v>
      </c>
      <c r="H11" s="7"/>
    </row>
    <row r="12" spans="2:8" x14ac:dyDescent="0.2">
      <c r="B12" s="5" t="s">
        <v>9</v>
      </c>
      <c r="C12" s="28">
        <v>471</v>
      </c>
      <c r="D12" s="42">
        <v>490</v>
      </c>
      <c r="E12" s="28">
        <f t="shared" si="0"/>
        <v>-19</v>
      </c>
      <c r="F12" s="42">
        <v>489</v>
      </c>
      <c r="G12" s="28">
        <f t="shared" si="1"/>
        <v>-18</v>
      </c>
      <c r="H12" s="7"/>
    </row>
    <row r="13" spans="2:8" x14ac:dyDescent="0.2">
      <c r="B13" s="5" t="s">
        <v>10</v>
      </c>
      <c r="C13" s="28">
        <v>600</v>
      </c>
      <c r="D13" s="42">
        <v>612</v>
      </c>
      <c r="E13" s="28">
        <f t="shared" si="0"/>
        <v>-12</v>
      </c>
      <c r="F13" s="42">
        <v>583</v>
      </c>
      <c r="G13" s="28">
        <f t="shared" si="1"/>
        <v>17</v>
      </c>
      <c r="H13" s="7"/>
    </row>
    <row r="14" spans="2:8" x14ac:dyDescent="0.2">
      <c r="B14" s="5" t="s">
        <v>11</v>
      </c>
      <c r="C14" s="28">
        <v>758</v>
      </c>
      <c r="D14" s="42">
        <v>768</v>
      </c>
      <c r="E14" s="28">
        <f t="shared" si="0"/>
        <v>-10</v>
      </c>
      <c r="F14" s="42">
        <v>745</v>
      </c>
      <c r="G14" s="28">
        <f t="shared" si="1"/>
        <v>13</v>
      </c>
      <c r="H14" s="7"/>
    </row>
    <row r="15" spans="2:8" x14ac:dyDescent="0.2">
      <c r="B15" s="5" t="s">
        <v>12</v>
      </c>
      <c r="C15" s="28">
        <v>712</v>
      </c>
      <c r="D15" s="42">
        <v>727</v>
      </c>
      <c r="E15" s="28">
        <f t="shared" si="0"/>
        <v>-15</v>
      </c>
      <c r="F15" s="42">
        <v>715</v>
      </c>
      <c r="G15" s="28">
        <f t="shared" si="1"/>
        <v>-3</v>
      </c>
      <c r="H15" s="7"/>
    </row>
    <row r="16" spans="2:8" x14ac:dyDescent="0.2">
      <c r="B16" s="5" t="s">
        <v>13</v>
      </c>
      <c r="C16" s="28">
        <v>748</v>
      </c>
      <c r="D16" s="42">
        <v>763</v>
      </c>
      <c r="E16" s="28">
        <f t="shared" si="0"/>
        <v>-15</v>
      </c>
      <c r="F16" s="42">
        <v>717</v>
      </c>
      <c r="G16" s="28">
        <f t="shared" si="1"/>
        <v>31</v>
      </c>
      <c r="H16" s="7"/>
    </row>
    <row r="17" spans="2:8" x14ac:dyDescent="0.2">
      <c r="B17" s="5" t="s">
        <v>14</v>
      </c>
      <c r="C17" s="28">
        <v>741</v>
      </c>
      <c r="D17" s="42">
        <v>742</v>
      </c>
      <c r="E17" s="28">
        <f t="shared" si="0"/>
        <v>-1</v>
      </c>
      <c r="F17" s="42">
        <v>700</v>
      </c>
      <c r="G17" s="28">
        <f t="shared" si="1"/>
        <v>41</v>
      </c>
      <c r="H17" s="7"/>
    </row>
    <row r="18" spans="2:8" x14ac:dyDescent="0.2">
      <c r="B18" s="5" t="s">
        <v>15</v>
      </c>
      <c r="C18" s="28">
        <v>591</v>
      </c>
      <c r="D18" s="42">
        <v>582</v>
      </c>
      <c r="E18" s="28">
        <f t="shared" si="0"/>
        <v>9</v>
      </c>
      <c r="F18" s="42">
        <v>574</v>
      </c>
      <c r="G18" s="28">
        <f t="shared" si="1"/>
        <v>17</v>
      </c>
      <c r="H18" s="7"/>
    </row>
    <row r="19" spans="2:8" x14ac:dyDescent="0.2">
      <c r="B19" s="5" t="s">
        <v>16</v>
      </c>
      <c r="C19" s="28">
        <v>1114</v>
      </c>
      <c r="D19" s="42">
        <v>1119</v>
      </c>
      <c r="E19" s="28">
        <f t="shared" si="0"/>
        <v>-5</v>
      </c>
      <c r="F19" s="42">
        <v>1141</v>
      </c>
      <c r="G19" s="28">
        <f t="shared" si="1"/>
        <v>-27</v>
      </c>
      <c r="H19" s="7"/>
    </row>
    <row r="20" spans="2:8" x14ac:dyDescent="0.2">
      <c r="B20" s="5" t="s">
        <v>17</v>
      </c>
      <c r="C20" s="28">
        <v>702</v>
      </c>
      <c r="D20" s="42">
        <v>700</v>
      </c>
      <c r="E20" s="28">
        <f t="shared" si="0"/>
        <v>2</v>
      </c>
      <c r="F20" s="42">
        <v>643</v>
      </c>
      <c r="G20" s="28">
        <f t="shared" si="1"/>
        <v>59</v>
      </c>
      <c r="H20" s="7"/>
    </row>
    <row r="21" spans="2:8" x14ac:dyDescent="0.2">
      <c r="B21" s="5" t="s">
        <v>18</v>
      </c>
      <c r="C21" s="28">
        <v>575</v>
      </c>
      <c r="D21" s="42">
        <v>578</v>
      </c>
      <c r="E21" s="28">
        <f t="shared" si="0"/>
        <v>-3</v>
      </c>
      <c r="F21" s="42">
        <v>513</v>
      </c>
      <c r="G21" s="28">
        <f t="shared" si="1"/>
        <v>62</v>
      </c>
      <c r="H21" s="7"/>
    </row>
    <row r="22" spans="2:8" x14ac:dyDescent="0.2">
      <c r="B22" s="5" t="s">
        <v>19</v>
      </c>
      <c r="C22" s="28">
        <v>778</v>
      </c>
      <c r="D22" s="42">
        <v>791</v>
      </c>
      <c r="E22" s="28">
        <f t="shared" si="0"/>
        <v>-13</v>
      </c>
      <c r="F22" s="42">
        <v>749</v>
      </c>
      <c r="G22" s="28">
        <f t="shared" si="1"/>
        <v>29</v>
      </c>
      <c r="H22" s="7"/>
    </row>
    <row r="23" spans="2:8" x14ac:dyDescent="0.2">
      <c r="B23" s="5" t="s">
        <v>20</v>
      </c>
      <c r="C23" s="28">
        <v>357</v>
      </c>
      <c r="D23" s="42">
        <v>369</v>
      </c>
      <c r="E23" s="28">
        <f t="shared" si="0"/>
        <v>-12</v>
      </c>
      <c r="F23" s="42">
        <v>362</v>
      </c>
      <c r="G23" s="28">
        <f t="shared" si="1"/>
        <v>-5</v>
      </c>
      <c r="H23" s="7"/>
    </row>
    <row r="24" spans="2:8" x14ac:dyDescent="0.2">
      <c r="B24" s="5" t="s">
        <v>21</v>
      </c>
      <c r="C24" s="28">
        <v>224</v>
      </c>
      <c r="D24" s="42">
        <v>225</v>
      </c>
      <c r="E24" s="28">
        <f t="shared" si="0"/>
        <v>-1</v>
      </c>
      <c r="F24" s="42">
        <v>217</v>
      </c>
      <c r="G24" s="28">
        <f t="shared" si="1"/>
        <v>7</v>
      </c>
      <c r="H24" s="7"/>
    </row>
    <row r="25" spans="2:8" x14ac:dyDescent="0.2">
      <c r="B25" s="5" t="s">
        <v>22</v>
      </c>
      <c r="C25" s="28">
        <v>717</v>
      </c>
      <c r="D25" s="42">
        <v>730</v>
      </c>
      <c r="E25" s="28">
        <f t="shared" si="0"/>
        <v>-13</v>
      </c>
      <c r="F25" s="42">
        <v>703</v>
      </c>
      <c r="G25" s="28">
        <f t="shared" si="1"/>
        <v>14</v>
      </c>
      <c r="H25" s="7"/>
    </row>
    <row r="26" spans="2:8" x14ac:dyDescent="0.2">
      <c r="B26" s="5" t="s">
        <v>23</v>
      </c>
      <c r="C26" s="28">
        <v>1321</v>
      </c>
      <c r="D26" s="42">
        <v>1317</v>
      </c>
      <c r="E26" s="28">
        <f t="shared" si="0"/>
        <v>4</v>
      </c>
      <c r="F26" s="42">
        <v>1335</v>
      </c>
      <c r="G26" s="28">
        <f t="shared" si="1"/>
        <v>-14</v>
      </c>
      <c r="H26" s="7"/>
    </row>
    <row r="27" spans="2:8" x14ac:dyDescent="0.2">
      <c r="B27" s="5" t="s">
        <v>24</v>
      </c>
      <c r="C27" s="28">
        <v>309</v>
      </c>
      <c r="D27" s="42">
        <v>328</v>
      </c>
      <c r="E27" s="28">
        <f t="shared" si="0"/>
        <v>-19</v>
      </c>
      <c r="F27" s="42">
        <v>296</v>
      </c>
      <c r="G27" s="28">
        <f t="shared" si="1"/>
        <v>13</v>
      </c>
      <c r="H27" s="7"/>
    </row>
    <row r="28" spans="2:8" ht="15" x14ac:dyDescent="0.25">
      <c r="B28" s="39" t="s">
        <v>25</v>
      </c>
      <c r="C28" s="48">
        <f>SUM(C3:C27)</f>
        <v>16953</v>
      </c>
      <c r="D28" s="44">
        <f>SUM(D3:D27)</f>
        <v>17200</v>
      </c>
      <c r="E28" s="48">
        <f>SUM(E3:E27)</f>
        <v>-247</v>
      </c>
      <c r="F28" s="44">
        <f>SUM(F3:F27)</f>
        <v>16755</v>
      </c>
      <c r="G28" s="48">
        <f>SUM(G3:G27)</f>
        <v>198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31-03-'25 r.</v>
      </c>
      <c r="E3" s="36" t="str">
        <f>T('6pow. 50 r.ż.'!D2)</f>
        <v>liczba bezrobotnych 50+ stan na 28-02-'25 r.</v>
      </c>
      <c r="F3" s="36" t="str">
        <f>T('6pow. 50 r.ż.'!E2)</f>
        <v>wzrost/spadek do poprzedniego  miesiąca</v>
      </c>
      <c r="G3" s="36" t="str">
        <f>T('6pow. 50 r.ż.'!F2)</f>
        <v>liczba bezrobotnych 50+ stan na 31-03-'24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224</v>
      </c>
      <c r="E4" s="42">
        <f>INDEX('6pow. 50 r.ż.'!B3:G28,MATCH(1,B4:B29,0),3)</f>
        <v>225</v>
      </c>
      <c r="F4" s="6">
        <f>INDEX('6pow. 50 r.ż.'!B3:G28,MATCH(1,B4:B29,0),4)</f>
        <v>-1</v>
      </c>
      <c r="G4" s="42">
        <f>INDEX('6pow. 50 r.ż.'!B3:G28,MATCH(1,B4:B29,0),5)</f>
        <v>217</v>
      </c>
      <c r="H4" s="6">
        <f>INDEX('6pow. 50 r.ż.'!B3:G28,MATCH(1,B4:B29,0),6)</f>
        <v>7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247</v>
      </c>
      <c r="E5" s="42">
        <f>INDEX('6pow. 50 r.ż.'!B3:G28,MATCH(2,B4:B29,0),3)</f>
        <v>257</v>
      </c>
      <c r="F5" s="6">
        <f>INDEX('6pow. 50 r.ż.'!B3:G28,MATCH(2,B4:B29,0),4)</f>
        <v>-10</v>
      </c>
      <c r="G5" s="42">
        <f>INDEX('6pow. 50 r.ż.'!B3:G28,MATCH(2,B4:B29,0),5)</f>
        <v>250</v>
      </c>
      <c r="H5" s="6">
        <f>INDEX('6pow. 50 r.ż.'!B3:G28,MATCH(2,B4:B29,0),6)</f>
        <v>-3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309</v>
      </c>
      <c r="E6" s="42">
        <f>INDEX('6pow. 50 r.ż.'!B3:G28,MATCH(3,B4:B29,0),3)</f>
        <v>328</v>
      </c>
      <c r="F6" s="6">
        <f>INDEX('6pow. 50 r.ż.'!B3:G28,MATCH(3,B4:B29,0),4)</f>
        <v>-19</v>
      </c>
      <c r="G6" s="42">
        <f>INDEX('6pow. 50 r.ż.'!B3:G28,MATCH(3,B4:B29,0),5)</f>
        <v>296</v>
      </c>
      <c r="H6" s="6">
        <f>INDEX('6pow. 50 r.ż.'!B3:G28,MATCH(3,B4:B29,0),6)</f>
        <v>13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357</v>
      </c>
      <c r="E7" s="42">
        <f>INDEX('6pow. 50 r.ż.'!B3:G28,MATCH(4,B4:B29,0),3)</f>
        <v>369</v>
      </c>
      <c r="F7" s="6">
        <f>INDEX('6pow. 50 r.ż.'!B3:G28,MATCH(4,B4:B29,0),4)</f>
        <v>-12</v>
      </c>
      <c r="G7" s="42">
        <f>INDEX('6pow. 50 r.ż.'!B3:G28,MATCH(4,B4:B29,0),5)</f>
        <v>362</v>
      </c>
      <c r="H7" s="6">
        <f>INDEX('6pow. 50 r.ż.'!B3:G28,MATCH(4,B4:B29,0),6)</f>
        <v>-5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kolbuszowski</v>
      </c>
      <c r="D8" s="6">
        <f>INDEX('6pow. 50 r.ż.'!B3:G28,MATCH(5,B4:B29,0),2)</f>
        <v>422</v>
      </c>
      <c r="E8" s="42">
        <f>INDEX('6pow. 50 r.ż.'!B3:G28,MATCH(5,B4:B29,0),3)</f>
        <v>425</v>
      </c>
      <c r="F8" s="6">
        <f>INDEX('6pow. 50 r.ż.'!B3:G28,MATCH(5,B4:B29,0),4)</f>
        <v>-3</v>
      </c>
      <c r="G8" s="42">
        <f>INDEX('6pow. 50 r.ż.'!B3:G28,MATCH(5,B4:B29,0),5)</f>
        <v>419</v>
      </c>
      <c r="H8" s="6">
        <f>INDEX('6pow. 50 r.ż.'!B3:G28,MATCH(5,B4:B29,0),6)</f>
        <v>3</v>
      </c>
    </row>
    <row r="9" spans="2:8" x14ac:dyDescent="0.2">
      <c r="B9" s="6">
        <f>RANK('6pow. 50 r.ż.'!C8,'6pow. 50 r.ż.'!$C$3:'6pow. 50 r.ż.'!$C$28,1)+COUNTIF('6pow. 50 r.ż.'!$C$3:'6pow. 50 r.ż.'!C8,'6pow. 50 r.ż.'!C8)-1</f>
        <v>5</v>
      </c>
      <c r="C9" s="5" t="str">
        <f>INDEX('6pow. 50 r.ż.'!B3:G28,MATCH(6,B4:B29,0),1)</f>
        <v>leski</v>
      </c>
      <c r="D9" s="6">
        <f>INDEX('6pow. 50 r.ż.'!B3:G28,MATCH(6,B4:B29,0),2)</f>
        <v>457</v>
      </c>
      <c r="E9" s="42">
        <f>INDEX('6pow. 50 r.ż.'!B3:G28,MATCH(6,B4:B29,0),3)</f>
        <v>464</v>
      </c>
      <c r="F9" s="6">
        <f>INDEX('6pow. 50 r.ż.'!B3:G28,MATCH(6,B4:B29,0),4)</f>
        <v>-7</v>
      </c>
      <c r="G9" s="42">
        <f>INDEX('6pow. 50 r.ż.'!B3:G28,MATCH(6,B4:B29,0),5)</f>
        <v>439</v>
      </c>
      <c r="H9" s="6">
        <f>INDEX('6pow. 50 r.ż.'!B3:G28,MATCH(6,B4:B29,0),6)</f>
        <v>18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471</v>
      </c>
      <c r="E10" s="42">
        <f>INDEX('6pow. 50 r.ż.'!B3:G28,MATCH(7,B4:B29,0),3)</f>
        <v>490</v>
      </c>
      <c r="F10" s="6">
        <f>INDEX('6pow. 50 r.ż.'!B3:G28,MATCH(7,B4:B29,0),4)</f>
        <v>-19</v>
      </c>
      <c r="G10" s="42">
        <f>INDEX('6pow. 50 r.ż.'!B3:G28,MATCH(7,B4:B29,0),5)</f>
        <v>489</v>
      </c>
      <c r="H10" s="6">
        <f>INDEX('6pow. 50 r.ż.'!B3:G28,MATCH(7,B4:B29,0),6)</f>
        <v>-18</v>
      </c>
    </row>
    <row r="11" spans="2:8" x14ac:dyDescent="0.2">
      <c r="B11" s="6">
        <f>RANK('6pow. 50 r.ż.'!C10,'6pow. 50 r.ż.'!$C$3:'6pow. 50 r.ż.'!$C$28,1)+COUNTIF('6pow. 50 r.ż.'!$C$3:'6pow. 50 r.ż.'!C10,'6pow. 50 r.ż.'!C10)-1</f>
        <v>6</v>
      </c>
      <c r="C11" s="5" t="str">
        <f>INDEX('6pow. 50 r.ż.'!B3:G28,MATCH(8,B4:B29,0),1)</f>
        <v>dębicki</v>
      </c>
      <c r="D11" s="6">
        <f>INDEX('6pow. 50 r.ż.'!B3:G28,MATCH(8,B4:B29,0),2)</f>
        <v>544</v>
      </c>
      <c r="E11" s="42">
        <f>INDEX('6pow. 50 r.ż.'!B3:G28,MATCH(8,B4:B29,0),3)</f>
        <v>559</v>
      </c>
      <c r="F11" s="6">
        <f>INDEX('6pow. 50 r.ż.'!B3:G28,MATCH(8,B4:B29,0),4)</f>
        <v>-15</v>
      </c>
      <c r="G11" s="42">
        <f>INDEX('6pow. 50 r.ż.'!B3:G28,MATCH(8,B4:B29,0),5)</f>
        <v>593</v>
      </c>
      <c r="H11" s="6">
        <f>INDEX('6pow. 50 r.ż.'!B3:G28,MATCH(8,B4:B29,0),6)</f>
        <v>-49</v>
      </c>
    </row>
    <row r="12" spans="2:8" x14ac:dyDescent="0.2">
      <c r="B12" s="6">
        <f>RANK('6pow. 50 r.ż.'!C11,'6pow. 50 r.ż.'!$C$3:'6pow. 50 r.ż.'!$C$28,1)+COUNTIF('6pow. 50 r.ż.'!$C$3:'6pow. 50 r.ż.'!C11,'6pow. 50 r.ż.'!C11)-1</f>
        <v>13</v>
      </c>
      <c r="C12" s="5" t="str">
        <f>INDEX('6pow. 50 r.ż.'!B3:G28,MATCH(9,B4:B29,0),1)</f>
        <v>stalowowolski</v>
      </c>
      <c r="D12" s="6">
        <f>INDEX('6pow. 50 r.ż.'!B3:G28,MATCH(9,B4:B29,0),2)</f>
        <v>575</v>
      </c>
      <c r="E12" s="42">
        <f>INDEX('6pow. 50 r.ż.'!B3:G28,MATCH(9,B4:B29,0),3)</f>
        <v>578</v>
      </c>
      <c r="F12" s="6">
        <f>INDEX('6pow. 50 r.ż.'!B3:G28,MATCH(9,B4:B29,0),4)</f>
        <v>-3</v>
      </c>
      <c r="G12" s="42">
        <f>INDEX('6pow. 50 r.ż.'!B3:G28,MATCH(9,B4:B29,0),5)</f>
        <v>513</v>
      </c>
      <c r="H12" s="6">
        <f>INDEX('6pow. 50 r.ż.'!B3:G28,MATCH(9,B4:B29,0),6)</f>
        <v>62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ropczycko-sędziszowski</v>
      </c>
      <c r="D13" s="6">
        <f>INDEX('6pow. 50 r.ż.'!B3:G28,MATCH(10,B4:B29,0),2)</f>
        <v>591</v>
      </c>
      <c r="E13" s="42">
        <f>INDEX('6pow. 50 r.ż.'!B3:G28,MATCH(10,B4:B29,0),3)</f>
        <v>582</v>
      </c>
      <c r="F13" s="6">
        <f>INDEX('6pow. 50 r.ż.'!B3:G28,MATCH(10,B4:B29,0),4)</f>
        <v>9</v>
      </c>
      <c r="G13" s="42">
        <f>INDEX('6pow. 50 r.ż.'!B3:G28,MATCH(10,B4:B29,0),5)</f>
        <v>574</v>
      </c>
      <c r="H13" s="6">
        <f>INDEX('6pow. 50 r.ż.'!B3:G28,MATCH(10,B4:B29,0),6)</f>
        <v>17</v>
      </c>
    </row>
    <row r="14" spans="2:8" x14ac:dyDescent="0.2">
      <c r="B14" s="6">
        <f>RANK('6pow. 50 r.ż.'!C13,'6pow. 50 r.ż.'!$C$3:'6pow. 50 r.ż.'!$C$28,1)+COUNTIF('6pow. 50 r.ż.'!$C$3:'6pow. 50 r.ż.'!C13,'6pow. 50 r.ż.'!C13)-1</f>
        <v>11</v>
      </c>
      <c r="C14" s="5" t="str">
        <f>INDEX('6pow. 50 r.ż.'!B3:G28,MATCH(11,B4:B29,0),1)</f>
        <v>łańcucki</v>
      </c>
      <c r="D14" s="6">
        <f>INDEX('6pow. 50 r.ż.'!B3:G28,MATCH(11,B4:B29,0),2)</f>
        <v>600</v>
      </c>
      <c r="E14" s="42">
        <f>INDEX('6pow. 50 r.ż.'!B3:G28,MATCH(11,B4:B29,0),3)</f>
        <v>612</v>
      </c>
      <c r="F14" s="6">
        <f>INDEX('6pow. 50 r.ż.'!B3:G28,MATCH(11,B4:B29,0),4)</f>
        <v>-12</v>
      </c>
      <c r="G14" s="42">
        <f>INDEX('6pow. 50 r.ż.'!B3:G28,MATCH(11,B4:B29,0),5)</f>
        <v>583</v>
      </c>
      <c r="H14" s="6">
        <f>INDEX('6pow. 50 r.ż.'!B3:G28,MATCH(11,B4:B29,0),6)</f>
        <v>17</v>
      </c>
    </row>
    <row r="15" spans="2:8" x14ac:dyDescent="0.2">
      <c r="B15" s="6">
        <f>RANK('6pow. 50 r.ż.'!C14,'6pow. 50 r.ż.'!$C$3:'6pow. 50 r.ż.'!$C$28,1)+COUNTIF('6pow. 50 r.ż.'!$C$3:'6pow. 50 r.ż.'!C14,'6pow. 50 r.ż.'!C14)-1</f>
        <v>19</v>
      </c>
      <c r="C15" s="5" t="str">
        <f>INDEX('6pow. 50 r.ż.'!B3:G28,MATCH(12,B4:B29,0),1)</f>
        <v>krośnieński</v>
      </c>
      <c r="D15" s="6">
        <f>INDEX('6pow. 50 r.ż.'!B3:G28,MATCH(12,B4:B29,0),2)</f>
        <v>663</v>
      </c>
      <c r="E15" s="42">
        <f>INDEX('6pow. 50 r.ż.'!B3:G28,MATCH(12,B4:B29,0),3)</f>
        <v>660</v>
      </c>
      <c r="F15" s="6">
        <f>INDEX('6pow. 50 r.ż.'!B3:G28,MATCH(12,B4:B29,0),4)</f>
        <v>3</v>
      </c>
      <c r="G15" s="42">
        <f>INDEX('6pow. 50 r.ż.'!B3:G28,MATCH(12,B4:B29,0),5)</f>
        <v>613</v>
      </c>
      <c r="H15" s="6">
        <f>INDEX('6pow. 50 r.ż.'!B3:G28,MATCH(12,B4:B29,0),6)</f>
        <v>50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leżajski</v>
      </c>
      <c r="D16" s="6">
        <f>INDEX('6pow. 50 r.ż.'!B3:G28,MATCH(13,B4:B29,0),2)</f>
        <v>701</v>
      </c>
      <c r="E16" s="42">
        <f>INDEX('6pow. 50 r.ż.'!B3:G28,MATCH(13,B4:B29,0),3)</f>
        <v>702</v>
      </c>
      <c r="F16" s="6">
        <f>INDEX('6pow. 50 r.ż.'!B3:G28,MATCH(13,B4:B29,0),4)</f>
        <v>-1</v>
      </c>
      <c r="G16" s="42">
        <f>INDEX('6pow. 50 r.ż.'!B3:G28,MATCH(13,B4:B29,0),5)</f>
        <v>750</v>
      </c>
      <c r="H16" s="6">
        <f>INDEX('6pow. 50 r.ż.'!B3:G28,MATCH(13,B4:B29,0),6)</f>
        <v>-49</v>
      </c>
    </row>
    <row r="17" spans="2:8" x14ac:dyDescent="0.2">
      <c r="B17" s="6">
        <f>RANK('6pow. 50 r.ż.'!C16,'6pow. 50 r.ż.'!$C$3:'6pow. 50 r.ż.'!$C$28,1)+COUNTIF('6pow. 50 r.ż.'!$C$3:'6pow. 50 r.ż.'!C16,'6pow. 50 r.ż.'!C16)-1</f>
        <v>18</v>
      </c>
      <c r="C17" s="5" t="str">
        <f>INDEX('6pow. 50 r.ż.'!B3:G28,MATCH(14,B4:B29,0),1)</f>
        <v>sanocki</v>
      </c>
      <c r="D17" s="6">
        <f>INDEX('6pow. 50 r.ż.'!B3:G28,MATCH(14,B4:B29,0),2)</f>
        <v>702</v>
      </c>
      <c r="E17" s="42">
        <f>INDEX('6pow. 50 r.ż.'!B3:G28,MATCH(14,B4:B29,0),3)</f>
        <v>700</v>
      </c>
      <c r="F17" s="6">
        <f>INDEX('6pow. 50 r.ż.'!B3:G28,MATCH(14,B4:B29,0),4)</f>
        <v>2</v>
      </c>
      <c r="G17" s="42">
        <f>INDEX('6pow. 50 r.ż.'!B3:G28,MATCH(14,B4:B29,0),5)</f>
        <v>643</v>
      </c>
      <c r="H17" s="6">
        <f>INDEX('6pow. 50 r.ż.'!B3:G28,MATCH(14,B4:B29,0),6)</f>
        <v>59</v>
      </c>
    </row>
    <row r="18" spans="2:8" x14ac:dyDescent="0.2">
      <c r="B18" s="6">
        <f>RANK('6pow. 50 r.ż.'!C17,'6pow. 50 r.ż.'!$C$3:'6pow. 50 r.ż.'!$C$28,1)+COUNTIF('6pow. 50 r.ż.'!$C$3:'6pow. 50 r.ż.'!C17,'6pow. 50 r.ż.'!C17)-1</f>
        <v>17</v>
      </c>
      <c r="C18" s="5" t="str">
        <f>INDEX('6pow. 50 r.ż.'!B3:G28,MATCH(15,B4:B29,0),1)</f>
        <v>niżański</v>
      </c>
      <c r="D18" s="6">
        <f>INDEX('6pow. 50 r.ż.'!B3:G28,MATCH(15,B4:B29,0),2)</f>
        <v>712</v>
      </c>
      <c r="E18" s="42">
        <f>INDEX('6pow. 50 r.ż.'!B3:G28,MATCH(15,B4:B29,0),3)</f>
        <v>727</v>
      </c>
      <c r="F18" s="6">
        <f>INDEX('6pow. 50 r.ż.'!B3:G28,MATCH(15,B4:B29,0),4)</f>
        <v>-15</v>
      </c>
      <c r="G18" s="42">
        <f>INDEX('6pow. 50 r.ż.'!B3:G28,MATCH(15,B4:B29,0),5)</f>
        <v>715</v>
      </c>
      <c r="H18" s="6">
        <f>INDEX('6pow. 50 r.ż.'!B3:G28,MATCH(15,B4:B29,0),6)</f>
        <v>-3</v>
      </c>
    </row>
    <row r="19" spans="2:8" x14ac:dyDescent="0.2">
      <c r="B19" s="6">
        <f>RANK('6pow. 50 r.ż.'!C18,'6pow. 50 r.ż.'!$C$3:'6pow. 50 r.ż.'!$C$28,1)+COUNTIF('6pow. 50 r.ż.'!$C$3:'6pow. 50 r.ż.'!C18,'6pow. 50 r.ż.'!C18)-1</f>
        <v>10</v>
      </c>
      <c r="C19" s="5" t="str">
        <f>INDEX('6pow. 50 r.ż.'!B3:G28,MATCH(16,B4:B29,0),1)</f>
        <v>Przemyśl</v>
      </c>
      <c r="D19" s="6">
        <f>INDEX('6pow. 50 r.ż.'!B3:G28,MATCH(16,B4:B29,0),2)</f>
        <v>717</v>
      </c>
      <c r="E19" s="42">
        <f>INDEX('6pow. 50 r.ż.'!B3:G28,MATCH(16,B4:B29,0),3)</f>
        <v>730</v>
      </c>
      <c r="F19" s="6">
        <f>INDEX('6pow. 50 r.ż.'!B3:G28,MATCH(16,B4:B29,0),4)</f>
        <v>-13</v>
      </c>
      <c r="G19" s="42">
        <f>INDEX('6pow. 50 r.ż.'!B3:G28,MATCH(16,B4:B29,0),5)</f>
        <v>703</v>
      </c>
      <c r="H19" s="6">
        <f>INDEX('6pow. 50 r.ż.'!B3:G28,MATCH(16,B4:B29,0),6)</f>
        <v>14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przeworski</v>
      </c>
      <c r="D20" s="6">
        <f>INDEX('6pow. 50 r.ż.'!B3:G28,MATCH(17,B4:B29,0),2)</f>
        <v>741</v>
      </c>
      <c r="E20" s="42">
        <f>INDEX('6pow. 50 r.ż.'!B3:G28,MATCH(17,B4:B29,0),3)</f>
        <v>742</v>
      </c>
      <c r="F20" s="6">
        <f>INDEX('6pow. 50 r.ż.'!B3:G28,MATCH(17,B4:B29,0),4)</f>
        <v>-1</v>
      </c>
      <c r="G20" s="42">
        <f>INDEX('6pow. 50 r.ż.'!B3:G28,MATCH(17,B4:B29,0),5)</f>
        <v>700</v>
      </c>
      <c r="H20" s="6">
        <f>INDEX('6pow. 50 r.ż.'!B3:G28,MATCH(17,B4:B29,0),6)</f>
        <v>41</v>
      </c>
    </row>
    <row r="21" spans="2:8" x14ac:dyDescent="0.2">
      <c r="B21" s="6">
        <f>RANK('6pow. 50 r.ż.'!C20,'6pow. 50 r.ż.'!$C$3:'6pow. 50 r.ż.'!$C$28,1)+COUNTIF('6pow. 50 r.ż.'!$C$3:'6pow. 50 r.ż.'!C20,'6pow. 50 r.ż.'!C20)-1</f>
        <v>14</v>
      </c>
      <c r="C21" s="5" t="str">
        <f>INDEX('6pow. 50 r.ż.'!B3:G28,MATCH(18,B4:B29,0),1)</f>
        <v>przemyski</v>
      </c>
      <c r="D21" s="6">
        <f>INDEX('6pow. 50 r.ż.'!B3:G28,MATCH(18,B4:B29,0),2)</f>
        <v>748</v>
      </c>
      <c r="E21" s="42">
        <f>INDEX('6pow. 50 r.ż.'!B3:G28,MATCH(18,B4:B29,0),3)</f>
        <v>763</v>
      </c>
      <c r="F21" s="6">
        <f>INDEX('6pow. 50 r.ż.'!B3:G28,MATCH(18,B4:B29,0),4)</f>
        <v>-15</v>
      </c>
      <c r="G21" s="42">
        <f>INDEX('6pow. 50 r.ż.'!B3:G28,MATCH(18,B4:B29,0),5)</f>
        <v>717</v>
      </c>
      <c r="H21" s="6">
        <f>INDEX('6pow. 50 r.ż.'!B3:G28,MATCH(18,B4:B29,0),6)</f>
        <v>31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mielecki</v>
      </c>
      <c r="D22" s="6">
        <f>INDEX('6pow. 50 r.ż.'!B3:G28,MATCH(19,B4:B29,0),2)</f>
        <v>758</v>
      </c>
      <c r="E22" s="42">
        <f>INDEX('6pow. 50 r.ż.'!B3:G28,MATCH(19,B4:B29,0),3)</f>
        <v>768</v>
      </c>
      <c r="F22" s="6">
        <f>INDEX('6pow. 50 r.ż.'!B3:G28,MATCH(19,B4:B29,0),4)</f>
        <v>-10</v>
      </c>
      <c r="G22" s="42">
        <f>INDEX('6pow. 50 r.ż.'!B3:G28,MATCH(19,B4:B29,0),5)</f>
        <v>745</v>
      </c>
      <c r="H22" s="6">
        <f>INDEX('6pow. 50 r.ż.'!B3:G28,MATCH(19,B4:B29,0),6)</f>
        <v>13</v>
      </c>
    </row>
    <row r="23" spans="2:8" x14ac:dyDescent="0.2">
      <c r="B23" s="6">
        <f>RANK('6pow. 50 r.ż.'!C22,'6pow. 50 r.ż.'!$C$3:'6pow. 50 r.ż.'!$C$28,1)+COUNTIF('6pow. 50 r.ż.'!$C$3:'6pow. 50 r.ż.'!C22,'6pow. 50 r.ż.'!C22)-1</f>
        <v>20</v>
      </c>
      <c r="C23" s="5" t="str">
        <f>INDEX('6pow. 50 r.ż.'!B3:G28,MATCH(20,B4:B29,0),1)</f>
        <v>strzyżowski</v>
      </c>
      <c r="D23" s="6">
        <f>INDEX('6pow. 50 r.ż.'!B3:G28,MATCH(20,B4:B29,0),2)</f>
        <v>778</v>
      </c>
      <c r="E23" s="42">
        <f>INDEX('6pow. 50 r.ż.'!B3:G28,MATCH(20,B4:B29,0),3)</f>
        <v>791</v>
      </c>
      <c r="F23" s="6">
        <f>INDEX('6pow. 50 r.ż.'!B3:G28,MATCH(20,B4:B29,0),4)</f>
        <v>-13</v>
      </c>
      <c r="G23" s="42">
        <f>INDEX('6pow. 50 r.ż.'!B3:G28,MATCH(20,B4:B29,0),5)</f>
        <v>749</v>
      </c>
      <c r="H23" s="6">
        <f>INDEX('6pow. 50 r.ż.'!B3:G28,MATCH(20,B4:B29,0),6)</f>
        <v>29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906</v>
      </c>
      <c r="E24" s="42">
        <f>INDEX('6pow. 50 r.ż.'!B3:G28,MATCH(21,B4:B29,0),3)</f>
        <v>928</v>
      </c>
      <c r="F24" s="6">
        <f>INDEX('6pow. 50 r.ż.'!B3:G28,MATCH(21,B4:B29,0),4)</f>
        <v>-22</v>
      </c>
      <c r="G24" s="42">
        <f>INDEX('6pow. 50 r.ż.'!B3:G28,MATCH(21,B4:B29,0),5)</f>
        <v>958</v>
      </c>
      <c r="H24" s="6">
        <f>INDEX('6pow. 50 r.ż.'!B3:G28,MATCH(21,B4:B29,0),6)</f>
        <v>-52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1114</v>
      </c>
      <c r="E25" s="42">
        <f>INDEX('6pow. 50 r.ż.'!B3:G28,MATCH(22,B4:B29,0),3)</f>
        <v>1119</v>
      </c>
      <c r="F25" s="6">
        <f>INDEX('6pow. 50 r.ż.'!B3:G28,MATCH(22,B4:B29,0),4)</f>
        <v>-5</v>
      </c>
      <c r="G25" s="42">
        <f>INDEX('6pow. 50 r.ż.'!B3:G28,MATCH(22,B4:B29,0),5)</f>
        <v>1141</v>
      </c>
      <c r="H25" s="6">
        <f>INDEX('6pow. 50 r.ż.'!B3:G28,MATCH(22,B4:B29,0),6)</f>
        <v>-27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jarosławski</v>
      </c>
      <c r="D26" s="6">
        <f>INDEX('6pow. 50 r.ż.'!B3:G28,MATCH(23,B4:B29,0),2)</f>
        <v>1117</v>
      </c>
      <c r="E26" s="42">
        <f>INDEX('6pow. 50 r.ż.'!B3:G28,MATCH(23,B4:B29,0),3)</f>
        <v>1153</v>
      </c>
      <c r="F26" s="6">
        <f>INDEX('6pow. 50 r.ż.'!B3:G28,MATCH(23,B4:B29,0),4)</f>
        <v>-36</v>
      </c>
      <c r="G26" s="42">
        <f>INDEX('6pow. 50 r.ż.'!B3:G28,MATCH(23,B4:B29,0),5)</f>
        <v>1066</v>
      </c>
      <c r="H26" s="6">
        <f>INDEX('6pow. 50 r.ż.'!B3:G28,MATCH(23,B4:B29,0),6)</f>
        <v>51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1178</v>
      </c>
      <c r="E27" s="42">
        <f>INDEX('6pow. 50 r.ż.'!B3:G28,MATCH(24,B4:B29,0),3)</f>
        <v>1211</v>
      </c>
      <c r="F27" s="6">
        <f>INDEX('6pow. 50 r.ż.'!B3:G28,MATCH(24,B4:B29,0),4)</f>
        <v>-33</v>
      </c>
      <c r="G27" s="42">
        <f>INDEX('6pow. 50 r.ż.'!B3:G28,MATCH(24,B4:B29,0),5)</f>
        <v>1185</v>
      </c>
      <c r="H27" s="6">
        <f>INDEX('6pow. 50 r.ż.'!B3:G28,MATCH(24,B4:B29,0),6)</f>
        <v>-7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1321</v>
      </c>
      <c r="E28" s="42">
        <f>INDEX('6pow. 50 r.ż.'!B3:G28,MATCH(25,B4:B29,0),3)</f>
        <v>1317</v>
      </c>
      <c r="F28" s="6">
        <f>INDEX('6pow. 50 r.ż.'!B3:G28,MATCH(25,B4:B29,0),4)</f>
        <v>4</v>
      </c>
      <c r="G28" s="42">
        <f>INDEX('6pow. 50 r.ż.'!B3:G28,MATCH(25,B4:B29,0),5)</f>
        <v>1335</v>
      </c>
      <c r="H28" s="6">
        <f>INDEX('6pow. 50 r.ż.'!B3:G28,MATCH(25,B4:B29,0),6)</f>
        <v>-14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16953</v>
      </c>
      <c r="E29" s="44">
        <f>INDEX('6pow. 50 r.ż.'!B3:G28,MATCH(26,B4:B29,0),3)</f>
        <v>17200</v>
      </c>
      <c r="F29" s="40">
        <f>INDEX('6pow. 50 r.ż.'!B3:G28,MATCH(26,B4:B29,0),4)</f>
        <v>-247</v>
      </c>
      <c r="G29" s="44">
        <f>INDEX('6pow. 50 r.ż.'!B3:G28,MATCH(26,B4:B29,0),5)</f>
        <v>16755</v>
      </c>
      <c r="H29" s="40">
        <f>INDEX('6pow. 50 r.ż.'!B3:G28,MATCH(26,B4:B29,0),6)</f>
        <v>198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D3" sqref="D3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94</v>
      </c>
      <c r="D2" s="38" t="s">
        <v>73</v>
      </c>
      <c r="E2" s="37" t="s">
        <v>28</v>
      </c>
      <c r="F2" s="38" t="s">
        <v>95</v>
      </c>
      <c r="G2" s="37" t="s">
        <v>26</v>
      </c>
    </row>
    <row r="3" spans="2:8" x14ac:dyDescent="0.2">
      <c r="B3" s="5" t="s">
        <v>0</v>
      </c>
      <c r="C3" s="28">
        <v>38</v>
      </c>
      <c r="D3" s="42">
        <v>153</v>
      </c>
      <c r="E3" s="28">
        <f t="shared" ref="E3:E27" si="0">SUM(C3)-D3</f>
        <v>-115</v>
      </c>
      <c r="F3" s="42">
        <v>7</v>
      </c>
      <c r="G3" s="28">
        <f t="shared" ref="G3:G27" si="1">SUM(C3)-F3</f>
        <v>31</v>
      </c>
      <c r="H3" s="7"/>
    </row>
    <row r="4" spans="2:8" x14ac:dyDescent="0.2">
      <c r="B4" s="5" t="s">
        <v>1</v>
      </c>
      <c r="C4" s="28">
        <v>156</v>
      </c>
      <c r="D4" s="42">
        <v>56</v>
      </c>
      <c r="E4" s="28">
        <f t="shared" si="0"/>
        <v>100</v>
      </c>
      <c r="F4" s="42">
        <v>127</v>
      </c>
      <c r="G4" s="28">
        <f t="shared" si="1"/>
        <v>29</v>
      </c>
      <c r="H4" s="7"/>
    </row>
    <row r="5" spans="2:8" x14ac:dyDescent="0.2">
      <c r="B5" s="5" t="s">
        <v>2</v>
      </c>
      <c r="C5" s="28">
        <v>295</v>
      </c>
      <c r="D5" s="42">
        <v>254</v>
      </c>
      <c r="E5" s="28">
        <f t="shared" si="0"/>
        <v>41</v>
      </c>
      <c r="F5" s="42">
        <v>248</v>
      </c>
      <c r="G5" s="28">
        <f t="shared" si="1"/>
        <v>47</v>
      </c>
      <c r="H5" s="7"/>
    </row>
    <row r="6" spans="2:8" x14ac:dyDescent="0.2">
      <c r="B6" s="5" t="s">
        <v>3</v>
      </c>
      <c r="C6" s="28">
        <v>212</v>
      </c>
      <c r="D6" s="42">
        <v>378</v>
      </c>
      <c r="E6" s="28">
        <f t="shared" si="0"/>
        <v>-166</v>
      </c>
      <c r="F6" s="42">
        <v>187</v>
      </c>
      <c r="G6" s="28">
        <f t="shared" si="1"/>
        <v>25</v>
      </c>
      <c r="H6" s="7"/>
    </row>
    <row r="7" spans="2:8" x14ac:dyDescent="0.2">
      <c r="B7" s="5" t="s">
        <v>4</v>
      </c>
      <c r="C7" s="28">
        <v>260</v>
      </c>
      <c r="D7" s="42">
        <v>281</v>
      </c>
      <c r="E7" s="28">
        <f t="shared" si="0"/>
        <v>-21</v>
      </c>
      <c r="F7" s="42">
        <v>228</v>
      </c>
      <c r="G7" s="28">
        <f t="shared" si="1"/>
        <v>32</v>
      </c>
      <c r="H7" s="7"/>
    </row>
    <row r="8" spans="2:8" x14ac:dyDescent="0.2">
      <c r="B8" s="5" t="s">
        <v>5</v>
      </c>
      <c r="C8" s="28">
        <v>86</v>
      </c>
      <c r="D8" s="42">
        <v>81</v>
      </c>
      <c r="E8" s="28">
        <f t="shared" si="0"/>
        <v>5</v>
      </c>
      <c r="F8" s="42">
        <v>117</v>
      </c>
      <c r="G8" s="28">
        <f t="shared" si="1"/>
        <v>-31</v>
      </c>
      <c r="H8" s="7"/>
    </row>
    <row r="9" spans="2:8" x14ac:dyDescent="0.2">
      <c r="B9" s="9" t="s">
        <v>6</v>
      </c>
      <c r="C9" s="28">
        <v>66</v>
      </c>
      <c r="D9" s="42">
        <v>118</v>
      </c>
      <c r="E9" s="28">
        <f t="shared" si="0"/>
        <v>-52</v>
      </c>
      <c r="F9" s="42">
        <v>78</v>
      </c>
      <c r="G9" s="28">
        <f t="shared" si="1"/>
        <v>-12</v>
      </c>
      <c r="H9" s="7"/>
    </row>
    <row r="10" spans="2:8" x14ac:dyDescent="0.2">
      <c r="B10" s="5" t="s">
        <v>7</v>
      </c>
      <c r="C10" s="28">
        <v>64</v>
      </c>
      <c r="D10" s="42">
        <v>62</v>
      </c>
      <c r="E10" s="28">
        <f t="shared" si="0"/>
        <v>2</v>
      </c>
      <c r="F10" s="42">
        <v>54</v>
      </c>
      <c r="G10" s="28">
        <f t="shared" si="1"/>
        <v>10</v>
      </c>
      <c r="H10" s="7"/>
    </row>
    <row r="11" spans="2:8" x14ac:dyDescent="0.2">
      <c r="B11" s="5" t="s">
        <v>8</v>
      </c>
      <c r="C11" s="28">
        <v>196</v>
      </c>
      <c r="D11" s="42">
        <v>212</v>
      </c>
      <c r="E11" s="28">
        <f t="shared" si="0"/>
        <v>-16</v>
      </c>
      <c r="F11" s="42">
        <v>127</v>
      </c>
      <c r="G11" s="28">
        <f t="shared" si="1"/>
        <v>69</v>
      </c>
      <c r="H11" s="7"/>
    </row>
    <row r="12" spans="2:8" x14ac:dyDescent="0.2">
      <c r="B12" s="5" t="s">
        <v>9</v>
      </c>
      <c r="C12" s="28">
        <v>152</v>
      </c>
      <c r="D12" s="42">
        <v>95</v>
      </c>
      <c r="E12" s="28">
        <f t="shared" si="0"/>
        <v>57</v>
      </c>
      <c r="F12" s="42">
        <v>136</v>
      </c>
      <c r="G12" s="28">
        <f t="shared" si="1"/>
        <v>16</v>
      </c>
      <c r="H12" s="7"/>
    </row>
    <row r="13" spans="2:8" x14ac:dyDescent="0.2">
      <c r="B13" s="5" t="s">
        <v>10</v>
      </c>
      <c r="C13" s="28">
        <v>130</v>
      </c>
      <c r="D13" s="42">
        <v>116</v>
      </c>
      <c r="E13" s="28">
        <f t="shared" si="0"/>
        <v>14</v>
      </c>
      <c r="F13" s="42">
        <v>105</v>
      </c>
      <c r="G13" s="28">
        <f t="shared" si="1"/>
        <v>25</v>
      </c>
      <c r="H13" s="7"/>
    </row>
    <row r="14" spans="2:8" x14ac:dyDescent="0.2">
      <c r="B14" s="5" t="s">
        <v>11</v>
      </c>
      <c r="C14" s="28">
        <v>238</v>
      </c>
      <c r="D14" s="42">
        <v>261</v>
      </c>
      <c r="E14" s="28">
        <f t="shared" si="0"/>
        <v>-23</v>
      </c>
      <c r="F14" s="42">
        <v>252</v>
      </c>
      <c r="G14" s="28">
        <f t="shared" si="1"/>
        <v>-14</v>
      </c>
      <c r="H14" s="7"/>
    </row>
    <row r="15" spans="2:8" x14ac:dyDescent="0.2">
      <c r="B15" s="5" t="s">
        <v>12</v>
      </c>
      <c r="C15" s="28">
        <v>209</v>
      </c>
      <c r="D15" s="42">
        <v>83</v>
      </c>
      <c r="E15" s="28">
        <f t="shared" si="0"/>
        <v>126</v>
      </c>
      <c r="F15" s="42">
        <v>123</v>
      </c>
      <c r="G15" s="28">
        <f t="shared" si="1"/>
        <v>86</v>
      </c>
      <c r="H15" s="7"/>
    </row>
    <row r="16" spans="2:8" x14ac:dyDescent="0.2">
      <c r="B16" s="5" t="s">
        <v>13</v>
      </c>
      <c r="C16" s="28">
        <v>46</v>
      </c>
      <c r="D16" s="42">
        <v>90</v>
      </c>
      <c r="E16" s="28">
        <f t="shared" si="0"/>
        <v>-44</v>
      </c>
      <c r="F16" s="42">
        <v>85</v>
      </c>
      <c r="G16" s="28">
        <f t="shared" si="1"/>
        <v>-39</v>
      </c>
      <c r="H16" s="7"/>
    </row>
    <row r="17" spans="2:8" x14ac:dyDescent="0.2">
      <c r="B17" s="5" t="s">
        <v>14</v>
      </c>
      <c r="C17" s="28">
        <v>222</v>
      </c>
      <c r="D17" s="42">
        <v>197</v>
      </c>
      <c r="E17" s="28">
        <f t="shared" si="0"/>
        <v>25</v>
      </c>
      <c r="F17" s="42">
        <v>247</v>
      </c>
      <c r="G17" s="28">
        <f t="shared" si="1"/>
        <v>-25</v>
      </c>
      <c r="H17" s="7"/>
    </row>
    <row r="18" spans="2:8" x14ac:dyDescent="0.2">
      <c r="B18" s="5" t="s">
        <v>15</v>
      </c>
      <c r="C18" s="28">
        <v>107</v>
      </c>
      <c r="D18" s="42">
        <v>109</v>
      </c>
      <c r="E18" s="28">
        <f t="shared" si="0"/>
        <v>-2</v>
      </c>
      <c r="F18" s="42">
        <v>87</v>
      </c>
      <c r="G18" s="28">
        <f t="shared" si="1"/>
        <v>20</v>
      </c>
      <c r="H18" s="7"/>
    </row>
    <row r="19" spans="2:8" x14ac:dyDescent="0.2">
      <c r="B19" s="5" t="s">
        <v>16</v>
      </c>
      <c r="C19" s="28">
        <v>128</v>
      </c>
      <c r="D19" s="42">
        <v>143</v>
      </c>
      <c r="E19" s="28">
        <f t="shared" si="0"/>
        <v>-15</v>
      </c>
      <c r="F19" s="42">
        <v>173</v>
      </c>
      <c r="G19" s="28">
        <f t="shared" si="1"/>
        <v>-45</v>
      </c>
      <c r="H19" s="7"/>
    </row>
    <row r="20" spans="2:8" x14ac:dyDescent="0.2">
      <c r="B20" s="5" t="s">
        <v>17</v>
      </c>
      <c r="C20" s="28">
        <v>79</v>
      </c>
      <c r="D20" s="42">
        <v>64</v>
      </c>
      <c r="E20" s="28">
        <f t="shared" si="0"/>
        <v>15</v>
      </c>
      <c r="F20" s="42">
        <v>63</v>
      </c>
      <c r="G20" s="28">
        <f t="shared" si="1"/>
        <v>16</v>
      </c>
      <c r="H20" s="7"/>
    </row>
    <row r="21" spans="2:8" x14ac:dyDescent="0.2">
      <c r="B21" s="5" t="s">
        <v>18</v>
      </c>
      <c r="C21" s="28">
        <v>138</v>
      </c>
      <c r="D21" s="42">
        <v>85</v>
      </c>
      <c r="E21" s="28">
        <f t="shared" si="0"/>
        <v>53</v>
      </c>
      <c r="F21" s="42">
        <v>169</v>
      </c>
      <c r="G21" s="28">
        <f t="shared" si="1"/>
        <v>-31</v>
      </c>
      <c r="H21" s="7"/>
    </row>
    <row r="22" spans="2:8" x14ac:dyDescent="0.2">
      <c r="B22" s="5" t="s">
        <v>19</v>
      </c>
      <c r="C22" s="28">
        <v>158</v>
      </c>
      <c r="D22" s="42">
        <v>284</v>
      </c>
      <c r="E22" s="28">
        <f t="shared" si="0"/>
        <v>-126</v>
      </c>
      <c r="F22" s="42">
        <v>143</v>
      </c>
      <c r="G22" s="28">
        <f t="shared" si="1"/>
        <v>15</v>
      </c>
      <c r="H22" s="7"/>
    </row>
    <row r="23" spans="2:8" x14ac:dyDescent="0.2">
      <c r="B23" s="5" t="s">
        <v>20</v>
      </c>
      <c r="C23" s="28">
        <v>98</v>
      </c>
      <c r="D23" s="42">
        <v>76</v>
      </c>
      <c r="E23" s="28">
        <f t="shared" si="0"/>
        <v>22</v>
      </c>
      <c r="F23" s="42">
        <v>64</v>
      </c>
      <c r="G23" s="28">
        <f t="shared" si="1"/>
        <v>34</v>
      </c>
      <c r="H23" s="7"/>
    </row>
    <row r="24" spans="2:8" x14ac:dyDescent="0.2">
      <c r="B24" s="5" t="s">
        <v>21</v>
      </c>
      <c r="C24" s="28">
        <v>87</v>
      </c>
      <c r="D24" s="42">
        <v>130</v>
      </c>
      <c r="E24" s="28">
        <f t="shared" si="0"/>
        <v>-43</v>
      </c>
      <c r="F24" s="42">
        <v>63</v>
      </c>
      <c r="G24" s="28">
        <f t="shared" si="1"/>
        <v>24</v>
      </c>
      <c r="H24" s="7"/>
    </row>
    <row r="25" spans="2:8" x14ac:dyDescent="0.2">
      <c r="B25" s="5" t="s">
        <v>22</v>
      </c>
      <c r="C25" s="28">
        <v>91</v>
      </c>
      <c r="D25" s="42">
        <v>89</v>
      </c>
      <c r="E25" s="28">
        <f t="shared" si="0"/>
        <v>2</v>
      </c>
      <c r="F25" s="42">
        <v>87</v>
      </c>
      <c r="G25" s="28">
        <f t="shared" si="1"/>
        <v>4</v>
      </c>
      <c r="H25" s="7"/>
    </row>
    <row r="26" spans="2:8" x14ac:dyDescent="0.2">
      <c r="B26" s="5" t="s">
        <v>23</v>
      </c>
      <c r="C26" s="28">
        <v>454</v>
      </c>
      <c r="D26" s="42">
        <v>596</v>
      </c>
      <c r="E26" s="28">
        <f t="shared" si="0"/>
        <v>-142</v>
      </c>
      <c r="F26" s="42">
        <v>487</v>
      </c>
      <c r="G26" s="28">
        <f t="shared" si="1"/>
        <v>-33</v>
      </c>
      <c r="H26" s="7"/>
    </row>
    <row r="27" spans="2:8" x14ac:dyDescent="0.2">
      <c r="B27" s="5" t="s">
        <v>24</v>
      </c>
      <c r="C27" s="28">
        <v>89</v>
      </c>
      <c r="D27" s="42">
        <v>82</v>
      </c>
      <c r="E27" s="28">
        <f t="shared" si="0"/>
        <v>7</v>
      </c>
      <c r="F27" s="42">
        <v>52</v>
      </c>
      <c r="G27" s="28">
        <f t="shared" si="1"/>
        <v>37</v>
      </c>
      <c r="H27" s="7"/>
    </row>
    <row r="28" spans="2:8" ht="17.25" customHeight="1" x14ac:dyDescent="0.25">
      <c r="B28" s="39" t="s">
        <v>25</v>
      </c>
      <c r="C28" s="48">
        <f>SUM(C3:C27)</f>
        <v>3799</v>
      </c>
      <c r="D28" s="44">
        <f>SUM(D3:D27)</f>
        <v>4095</v>
      </c>
      <c r="E28" s="48">
        <f>SUM(E3:E27)</f>
        <v>-296</v>
      </c>
      <c r="F28" s="44">
        <f>SUM(F3:F27)</f>
        <v>3509</v>
      </c>
      <c r="G28" s="48">
        <f>SUM(G3:G27)</f>
        <v>290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03-'25 r.</v>
      </c>
      <c r="E3" s="36" t="str">
        <f>T('7oferty p.'!D2)</f>
        <v>liczba ofert w 02-'25 r.</v>
      </c>
      <c r="F3" s="36" t="str">
        <f>T('7oferty p.'!E2)</f>
        <v>wzrost/spadek do poprzedniego  miesiąca</v>
      </c>
      <c r="G3" s="36" t="str">
        <f>T('7oferty p.'!F2)</f>
        <v>liczba ofert w 03-'24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38</v>
      </c>
      <c r="E4" s="42">
        <f>INDEX('7oferty p.'!B3:G28,MATCH(1,B4:B29,0),3)</f>
        <v>153</v>
      </c>
      <c r="F4" s="6">
        <f>INDEX('7oferty p.'!B3:G28,MATCH(1,B4:B29,0),4)</f>
        <v>-115</v>
      </c>
      <c r="G4" s="42">
        <f>INDEX('7oferty p.'!B3:G28,MATCH(1,B4:B29,0),5)</f>
        <v>7</v>
      </c>
      <c r="H4" s="6">
        <f>INDEX('7oferty p.'!B3:G28,MATCH(1,B4:B29,0),6)</f>
        <v>31</v>
      </c>
    </row>
    <row r="5" spans="2:8" x14ac:dyDescent="0.2">
      <c r="B5" s="6">
        <f>RANK('7oferty p.'!C4,'7oferty p.'!$C$3:'7oferty p.'!$C$28,1)+COUNTIF('7oferty p.'!$C$3:'7oferty p.'!C4,'7oferty p.'!C4)-1</f>
        <v>16</v>
      </c>
      <c r="C5" s="5" t="str">
        <f>INDEX('7oferty p.'!B3:G28,MATCH(2,B4:B29,0),1)</f>
        <v>przemyski</v>
      </c>
      <c r="D5" s="6">
        <f>INDEX('7oferty p.'!B3:G28,MATCH(2,B4:B29,0),2)</f>
        <v>46</v>
      </c>
      <c r="E5" s="42">
        <f>INDEX('7oferty p.'!B3:G28,MATCH(2,B4:B29,0),3)</f>
        <v>90</v>
      </c>
      <c r="F5" s="6">
        <f>INDEX('7oferty p.'!B3:G28,MATCH(2,B4:B29,0),4)</f>
        <v>-44</v>
      </c>
      <c r="G5" s="42">
        <f>INDEX('7oferty p.'!B3:G28,MATCH(2,B4:B29,0),5)</f>
        <v>85</v>
      </c>
      <c r="H5" s="6">
        <f>INDEX('7oferty p.'!B3:G28,MATCH(2,B4:B29,0),6)</f>
        <v>-39</v>
      </c>
    </row>
    <row r="6" spans="2:8" x14ac:dyDescent="0.2">
      <c r="B6" s="6">
        <f>RANK('7oferty p.'!C5,'7oferty p.'!$C$3:'7oferty p.'!$C$28,1)+COUNTIF('7oferty p.'!$C$3:'7oferty p.'!C5,'7oferty p.'!C5)-1</f>
        <v>24</v>
      </c>
      <c r="C6" s="5" t="str">
        <f>INDEX('7oferty p.'!B3:G28,MATCH(3,B4:B29,0),1)</f>
        <v>leski</v>
      </c>
      <c r="D6" s="6">
        <f>INDEX('7oferty p.'!B3:G28,MATCH(3,B4:B29,0),2)</f>
        <v>64</v>
      </c>
      <c r="E6" s="42">
        <f>INDEX('7oferty p.'!B3:G28,MATCH(3,B4:B29,0),3)</f>
        <v>62</v>
      </c>
      <c r="F6" s="6">
        <f>INDEX('7oferty p.'!B3:G28,MATCH(3,B4:B29,0),4)</f>
        <v>2</v>
      </c>
      <c r="G6" s="42">
        <f>INDEX('7oferty p.'!B3:G28,MATCH(3,B4:B29,0),5)</f>
        <v>54</v>
      </c>
      <c r="H6" s="6">
        <f>INDEX('7oferty p.'!B3:G28,MATCH(3,B4:B29,0),6)</f>
        <v>10</v>
      </c>
    </row>
    <row r="7" spans="2:8" x14ac:dyDescent="0.2">
      <c r="B7" s="6">
        <f>RANK('7oferty p.'!C6,'7oferty p.'!$C$3:'7oferty p.'!$C$28,1)+COUNTIF('7oferty p.'!$C$3:'7oferty p.'!C6,'7oferty p.'!C6)-1</f>
        <v>20</v>
      </c>
      <c r="C7" s="5" t="str">
        <f>INDEX('7oferty p.'!B3:G28,MATCH(4,B4:B29,0),1)</f>
        <v>krośnieński</v>
      </c>
      <c r="D7" s="6">
        <f>INDEX('7oferty p.'!B3:G28,MATCH(4,B4:B29,0),2)</f>
        <v>66</v>
      </c>
      <c r="E7" s="42">
        <f>INDEX('7oferty p.'!B3:G28,MATCH(4,B4:B29,0),3)</f>
        <v>118</v>
      </c>
      <c r="F7" s="6">
        <f>INDEX('7oferty p.'!B3:G28,MATCH(4,B4:B29,0),4)</f>
        <v>-52</v>
      </c>
      <c r="G7" s="42">
        <f>INDEX('7oferty p.'!B3:G28,MATCH(4,B4:B29,0),5)</f>
        <v>78</v>
      </c>
      <c r="H7" s="6">
        <f>INDEX('7oferty p.'!B3:G28,MATCH(4,B4:B29,0),6)</f>
        <v>-12</v>
      </c>
    </row>
    <row r="8" spans="2:8" x14ac:dyDescent="0.2">
      <c r="B8" s="6">
        <f>RANK('7oferty p.'!C7,'7oferty p.'!$C$3:'7oferty p.'!$C$28,1)+COUNTIF('7oferty p.'!$C$3:'7oferty p.'!C7,'7oferty p.'!C7)-1</f>
        <v>23</v>
      </c>
      <c r="C8" s="5" t="str">
        <f>INDEX('7oferty p.'!B3:G28,MATCH(5,B4:B29,0),1)</f>
        <v>sanocki</v>
      </c>
      <c r="D8" s="6">
        <f>INDEX('7oferty p.'!B3:G28,MATCH(5,B4:B29,0),2)</f>
        <v>79</v>
      </c>
      <c r="E8" s="42">
        <f>INDEX('7oferty p.'!B3:G28,MATCH(5,B4:B29,0),3)</f>
        <v>64</v>
      </c>
      <c r="F8" s="6">
        <f>INDEX('7oferty p.'!B3:G28,MATCH(5,B4:B29,0),4)</f>
        <v>15</v>
      </c>
      <c r="G8" s="42">
        <f>INDEX('7oferty p.'!B3:G28,MATCH(5,B4:B29,0),5)</f>
        <v>63</v>
      </c>
      <c r="H8" s="6">
        <f>INDEX('7oferty p.'!B3:G28,MATCH(5,B4:B29,0),6)</f>
        <v>16</v>
      </c>
    </row>
    <row r="9" spans="2:8" x14ac:dyDescent="0.2">
      <c r="B9" s="6">
        <f>RANK('7oferty p.'!C8,'7oferty p.'!$C$3:'7oferty p.'!$C$28,1)+COUNTIF('7oferty p.'!$C$3:'7oferty p.'!C8,'7oferty p.'!C8)-1</f>
        <v>6</v>
      </c>
      <c r="C9" s="5" t="str">
        <f>INDEX('7oferty p.'!B3:G28,MATCH(6,B4:B29,0),1)</f>
        <v>kolbuszowski</v>
      </c>
      <c r="D9" s="6">
        <f>INDEX('7oferty p.'!B3:G28,MATCH(6,B4:B29,0),2)</f>
        <v>86</v>
      </c>
      <c r="E9" s="42">
        <f>INDEX('7oferty p.'!B3:G28,MATCH(6,B4:B29,0),3)</f>
        <v>81</v>
      </c>
      <c r="F9" s="6">
        <f>INDEX('7oferty p.'!B3:G28,MATCH(6,B4:B29,0),4)</f>
        <v>5</v>
      </c>
      <c r="G9" s="42">
        <f>INDEX('7oferty p.'!B3:G28,MATCH(6,B4:B29,0),5)</f>
        <v>117</v>
      </c>
      <c r="H9" s="6">
        <f>INDEX('7oferty p.'!B3:G28,MATCH(6,B4:B29,0),6)</f>
        <v>-31</v>
      </c>
    </row>
    <row r="10" spans="2:8" x14ac:dyDescent="0.2">
      <c r="B10" s="6">
        <f>RANK('7oferty p.'!C9,'7oferty p.'!$C$3:'7oferty p.'!$C$28,1)+COUNTIF('7oferty p.'!$C$3:'7oferty p.'!C9,'7oferty p.'!C9)-1</f>
        <v>4</v>
      </c>
      <c r="C10" s="9" t="str">
        <f>INDEX('7oferty p.'!B3:G28,MATCH(7,B4:B29,0),1)</f>
        <v>Krosno</v>
      </c>
      <c r="D10" s="6">
        <f>INDEX('7oferty p.'!B3:G28,MATCH(7,B4:B29,0),2)</f>
        <v>87</v>
      </c>
      <c r="E10" s="42">
        <f>INDEX('7oferty p.'!B3:G28,MATCH(7,B4:B29,0),3)</f>
        <v>130</v>
      </c>
      <c r="F10" s="6">
        <f>INDEX('7oferty p.'!B3:G28,MATCH(7,B4:B29,0),4)</f>
        <v>-43</v>
      </c>
      <c r="G10" s="42">
        <f>INDEX('7oferty p.'!B3:G28,MATCH(7,B4:B29,0),5)</f>
        <v>63</v>
      </c>
      <c r="H10" s="6">
        <f>INDEX('7oferty p.'!B3:G28,MATCH(7,B4:B29,0),6)</f>
        <v>24</v>
      </c>
    </row>
    <row r="11" spans="2:8" x14ac:dyDescent="0.2">
      <c r="B11" s="6">
        <f>RANK('7oferty p.'!C10,'7oferty p.'!$C$3:'7oferty p.'!$C$28,1)+COUNTIF('7oferty p.'!$C$3:'7oferty p.'!C10,'7oferty p.'!C10)-1</f>
        <v>3</v>
      </c>
      <c r="C11" s="5" t="str">
        <f>INDEX('7oferty p.'!B3:G28,MATCH(8,B4:B29,0),1)</f>
        <v>Tarnobrzeg</v>
      </c>
      <c r="D11" s="6">
        <f>INDEX('7oferty p.'!B3:G28,MATCH(8,B4:B29,0),2)</f>
        <v>89</v>
      </c>
      <c r="E11" s="42">
        <f>INDEX('7oferty p.'!B3:G28,MATCH(8,B4:B29,0),3)</f>
        <v>82</v>
      </c>
      <c r="F11" s="6">
        <f>INDEX('7oferty p.'!B3:G28,MATCH(8,B4:B29,0),4)</f>
        <v>7</v>
      </c>
      <c r="G11" s="42">
        <f>INDEX('7oferty p.'!B3:G28,MATCH(8,B4:B29,0),5)</f>
        <v>52</v>
      </c>
      <c r="H11" s="6">
        <f>INDEX('7oferty p.'!B3:G28,MATCH(8,B4:B29,0),6)</f>
        <v>37</v>
      </c>
    </row>
    <row r="12" spans="2:8" x14ac:dyDescent="0.2">
      <c r="B12" s="6">
        <f>RANK('7oferty p.'!C11,'7oferty p.'!$C$3:'7oferty p.'!$C$28,1)+COUNTIF('7oferty p.'!$C$3:'7oferty p.'!C11,'7oferty p.'!C11)-1</f>
        <v>18</v>
      </c>
      <c r="C12" s="5" t="str">
        <f>INDEX('7oferty p.'!B3:G28,MATCH(9,B4:B29,0),1)</f>
        <v>Przemyśl</v>
      </c>
      <c r="D12" s="6">
        <f>INDEX('7oferty p.'!B3:G28,MATCH(9,B4:B29,0),2)</f>
        <v>91</v>
      </c>
      <c r="E12" s="42">
        <f>INDEX('7oferty p.'!B3:G28,MATCH(9,B4:B29,0),3)</f>
        <v>89</v>
      </c>
      <c r="F12" s="6">
        <f>INDEX('7oferty p.'!B3:G28,MATCH(9,B4:B29,0),4)</f>
        <v>2</v>
      </c>
      <c r="G12" s="42">
        <f>INDEX('7oferty p.'!B3:G28,MATCH(9,B4:B29,0),5)</f>
        <v>87</v>
      </c>
      <c r="H12" s="6">
        <f>INDEX('7oferty p.'!B3:G28,MATCH(9,B4:B29,0),6)</f>
        <v>4</v>
      </c>
    </row>
    <row r="13" spans="2:8" x14ac:dyDescent="0.2">
      <c r="B13" s="6">
        <f>RANK('7oferty p.'!C12,'7oferty p.'!$C$3:'7oferty p.'!$C$28,1)+COUNTIF('7oferty p.'!$C$3:'7oferty p.'!C12,'7oferty p.'!C12)-1</f>
        <v>15</v>
      </c>
      <c r="C13" s="5" t="str">
        <f>INDEX('7oferty p.'!B3:G28,MATCH(10,B4:B29,0),1)</f>
        <v xml:space="preserve">tarnobrzeski </v>
      </c>
      <c r="D13" s="6">
        <f>INDEX('7oferty p.'!B3:G28,MATCH(10,B4:B29,0),2)</f>
        <v>98</v>
      </c>
      <c r="E13" s="42">
        <f>INDEX('7oferty p.'!B3:G28,MATCH(10,B4:B29,0),3)</f>
        <v>76</v>
      </c>
      <c r="F13" s="6">
        <f>INDEX('7oferty p.'!B3:G28,MATCH(10,B4:B29,0),4)</f>
        <v>22</v>
      </c>
      <c r="G13" s="42">
        <f>INDEX('7oferty p.'!B3:G28,MATCH(10,B4:B29,0),5)</f>
        <v>64</v>
      </c>
      <c r="H13" s="6">
        <f>INDEX('7oferty p.'!B3:G28,MATCH(10,B4:B29,0),6)</f>
        <v>34</v>
      </c>
    </row>
    <row r="14" spans="2:8" x14ac:dyDescent="0.2">
      <c r="B14" s="6">
        <f>RANK('7oferty p.'!C13,'7oferty p.'!$C$3:'7oferty p.'!$C$28,1)+COUNTIF('7oferty p.'!$C$3:'7oferty p.'!C13,'7oferty p.'!C13)-1</f>
        <v>13</v>
      </c>
      <c r="C14" s="5" t="str">
        <f>INDEX('7oferty p.'!B3:G28,MATCH(11,B4:B29,0),1)</f>
        <v>ropczycko-sędziszowski</v>
      </c>
      <c r="D14" s="6">
        <f>INDEX('7oferty p.'!B3:G28,MATCH(11,B4:B29,0),2)</f>
        <v>107</v>
      </c>
      <c r="E14" s="42">
        <f>INDEX('7oferty p.'!B3:G28,MATCH(11,B4:B29,0),3)</f>
        <v>109</v>
      </c>
      <c r="F14" s="6">
        <f>INDEX('7oferty p.'!B3:G28,MATCH(11,B4:B29,0),4)</f>
        <v>-2</v>
      </c>
      <c r="G14" s="42">
        <f>INDEX('7oferty p.'!B3:G28,MATCH(11,B4:B29,0),5)</f>
        <v>87</v>
      </c>
      <c r="H14" s="6">
        <f>INDEX('7oferty p.'!B3:G28,MATCH(11,B4:B29,0),6)</f>
        <v>20</v>
      </c>
    </row>
    <row r="15" spans="2:8" x14ac:dyDescent="0.2">
      <c r="B15" s="6">
        <f>RANK('7oferty p.'!C14,'7oferty p.'!$C$3:'7oferty p.'!$C$28,1)+COUNTIF('7oferty p.'!$C$3:'7oferty p.'!C14,'7oferty p.'!C14)-1</f>
        <v>22</v>
      </c>
      <c r="C15" s="5" t="str">
        <f>INDEX('7oferty p.'!B3:G28,MATCH(12,B4:B29,0),1)</f>
        <v>rzeszowski</v>
      </c>
      <c r="D15" s="6">
        <f>INDEX('7oferty p.'!B3:G28,MATCH(12,B4:B29,0),2)</f>
        <v>128</v>
      </c>
      <c r="E15" s="42">
        <f>INDEX('7oferty p.'!B3:G28,MATCH(12,B4:B29,0),3)</f>
        <v>143</v>
      </c>
      <c r="F15" s="6">
        <f>INDEX('7oferty p.'!B3:G28,MATCH(12,B4:B29,0),4)</f>
        <v>-15</v>
      </c>
      <c r="G15" s="42">
        <f>INDEX('7oferty p.'!B3:G28,MATCH(12,B4:B29,0),5)</f>
        <v>173</v>
      </c>
      <c r="H15" s="6">
        <f>INDEX('7oferty p.'!B3:G28,MATCH(12,B4:B29,0),6)</f>
        <v>-45</v>
      </c>
    </row>
    <row r="16" spans="2:8" x14ac:dyDescent="0.2">
      <c r="B16" s="6">
        <f>RANK('7oferty p.'!C15,'7oferty p.'!$C$3:'7oferty p.'!$C$28,1)+COUNTIF('7oferty p.'!$C$3:'7oferty p.'!C15,'7oferty p.'!C15)-1</f>
        <v>19</v>
      </c>
      <c r="C16" s="5" t="str">
        <f>INDEX('7oferty p.'!B3:G28,MATCH(13,B4:B29,0),1)</f>
        <v>łańcucki</v>
      </c>
      <c r="D16" s="6">
        <f>INDEX('7oferty p.'!B3:G28,MATCH(13,B4:B29,0),2)</f>
        <v>130</v>
      </c>
      <c r="E16" s="42">
        <f>INDEX('7oferty p.'!B3:G28,MATCH(13,B4:B29,0),3)</f>
        <v>116</v>
      </c>
      <c r="F16" s="6">
        <f>INDEX('7oferty p.'!B3:G28,MATCH(13,B4:B29,0),4)</f>
        <v>14</v>
      </c>
      <c r="G16" s="42">
        <f>INDEX('7oferty p.'!B3:G28,MATCH(13,B4:B29,0),5)</f>
        <v>105</v>
      </c>
      <c r="H16" s="6">
        <f>INDEX('7oferty p.'!B3:G28,MATCH(13,B4:B29,0),6)</f>
        <v>25</v>
      </c>
    </row>
    <row r="17" spans="2:8" x14ac:dyDescent="0.2">
      <c r="B17" s="6">
        <f>RANK('7oferty p.'!C16,'7oferty p.'!$C$3:'7oferty p.'!$C$28,1)+COUNTIF('7oferty p.'!$C$3:'7oferty p.'!C16,'7oferty p.'!C16)-1</f>
        <v>2</v>
      </c>
      <c r="C17" s="5" t="str">
        <f>INDEX('7oferty p.'!B3:G28,MATCH(14,B4:B29,0),1)</f>
        <v>stalowowolski</v>
      </c>
      <c r="D17" s="6">
        <f>INDEX('7oferty p.'!B3:G28,MATCH(14,B4:B29,0),2)</f>
        <v>138</v>
      </c>
      <c r="E17" s="42">
        <f>INDEX('7oferty p.'!B3:G28,MATCH(14,B4:B29,0),3)</f>
        <v>85</v>
      </c>
      <c r="F17" s="6">
        <f>INDEX('7oferty p.'!B3:G28,MATCH(14,B4:B29,0),4)</f>
        <v>53</v>
      </c>
      <c r="G17" s="42">
        <f>INDEX('7oferty p.'!B3:G28,MATCH(14,B4:B29,0),5)</f>
        <v>169</v>
      </c>
      <c r="H17" s="6">
        <f>INDEX('7oferty p.'!B3:G28,MATCH(14,B4:B29,0),6)</f>
        <v>-31</v>
      </c>
    </row>
    <row r="18" spans="2:8" x14ac:dyDescent="0.2">
      <c r="B18" s="6">
        <f>RANK('7oferty p.'!C17,'7oferty p.'!$C$3:'7oferty p.'!$C$28,1)+COUNTIF('7oferty p.'!$C$3:'7oferty p.'!C17,'7oferty p.'!C17)-1</f>
        <v>21</v>
      </c>
      <c r="C18" s="5" t="str">
        <f>INDEX('7oferty p.'!B3:G28,MATCH(15,B4:B29,0),1)</f>
        <v>lubaczowski</v>
      </c>
      <c r="D18" s="6">
        <f>INDEX('7oferty p.'!B3:G28,MATCH(15,B4:B29,0),2)</f>
        <v>152</v>
      </c>
      <c r="E18" s="42">
        <f>INDEX('7oferty p.'!B3:G28,MATCH(15,B4:B29,0),3)</f>
        <v>95</v>
      </c>
      <c r="F18" s="6">
        <f>INDEX('7oferty p.'!B3:G28,MATCH(15,B4:B29,0),4)</f>
        <v>57</v>
      </c>
      <c r="G18" s="42">
        <f>INDEX('7oferty p.'!B3:G28,MATCH(15,B4:B29,0),5)</f>
        <v>136</v>
      </c>
      <c r="H18" s="6">
        <f>INDEX('7oferty p.'!B3:G28,MATCH(15,B4:B29,0),6)</f>
        <v>16</v>
      </c>
    </row>
    <row r="19" spans="2:8" x14ac:dyDescent="0.2">
      <c r="B19" s="6">
        <f>RANK('7oferty p.'!C18,'7oferty p.'!$C$3:'7oferty p.'!$C$28,1)+COUNTIF('7oferty p.'!$C$3:'7oferty p.'!C18,'7oferty p.'!C18)-1</f>
        <v>11</v>
      </c>
      <c r="C19" s="5" t="str">
        <f>INDEX('7oferty p.'!B3:G28,MATCH(16,B4:B29,0),1)</f>
        <v>brzozowski</v>
      </c>
      <c r="D19" s="6">
        <f>INDEX('7oferty p.'!B3:G28,MATCH(16,B4:B29,0),2)</f>
        <v>156</v>
      </c>
      <c r="E19" s="42">
        <f>INDEX('7oferty p.'!B3:G28,MATCH(16,B4:B29,0),3)</f>
        <v>56</v>
      </c>
      <c r="F19" s="6">
        <f>INDEX('7oferty p.'!B3:G28,MATCH(16,B4:B29,0),4)</f>
        <v>100</v>
      </c>
      <c r="G19" s="42">
        <f>INDEX('7oferty p.'!B3:G28,MATCH(16,B4:B29,0),5)</f>
        <v>127</v>
      </c>
      <c r="H19" s="6">
        <f>INDEX('7oferty p.'!B3:G28,MATCH(16,B4:B29,0),6)</f>
        <v>29</v>
      </c>
    </row>
    <row r="20" spans="2:8" x14ac:dyDescent="0.2">
      <c r="B20" s="6">
        <f>RANK('7oferty p.'!C19,'7oferty p.'!$C$3:'7oferty p.'!$C$28,1)+COUNTIF('7oferty p.'!$C$3:'7oferty p.'!C19,'7oferty p.'!C19)-1</f>
        <v>12</v>
      </c>
      <c r="C20" s="5" t="str">
        <f>INDEX('7oferty p.'!B3:G28,MATCH(17,B4:B29,0),1)</f>
        <v>strzyżowski</v>
      </c>
      <c r="D20" s="6">
        <f>INDEX('7oferty p.'!B3:G28,MATCH(17,B4:B29,0),2)</f>
        <v>158</v>
      </c>
      <c r="E20" s="42">
        <f>INDEX('7oferty p.'!B3:G28,MATCH(17,B4:B29,0),3)</f>
        <v>284</v>
      </c>
      <c r="F20" s="6">
        <f>INDEX('7oferty p.'!B3:G28,MATCH(17,B4:B29,0),4)</f>
        <v>-126</v>
      </c>
      <c r="G20" s="42">
        <f>INDEX('7oferty p.'!B3:G28,MATCH(17,B4:B29,0),5)</f>
        <v>143</v>
      </c>
      <c r="H20" s="6">
        <f>INDEX('7oferty p.'!B3:G28,MATCH(17,B4:B29,0),6)</f>
        <v>15</v>
      </c>
    </row>
    <row r="21" spans="2:8" x14ac:dyDescent="0.2">
      <c r="B21" s="6">
        <f>RANK('7oferty p.'!C20,'7oferty p.'!$C$3:'7oferty p.'!$C$28,1)+COUNTIF('7oferty p.'!$C$3:'7oferty p.'!C20,'7oferty p.'!C20)-1</f>
        <v>5</v>
      </c>
      <c r="C21" s="5" t="str">
        <f>INDEX('7oferty p.'!B3:G28,MATCH(18,B4:B29,0),1)</f>
        <v>leżajski</v>
      </c>
      <c r="D21" s="6">
        <f>INDEX('7oferty p.'!B3:G28,MATCH(18,B4:B29,0),2)</f>
        <v>196</v>
      </c>
      <c r="E21" s="42">
        <f>INDEX('7oferty p.'!B3:G28,MATCH(18,B4:B29,0),3)</f>
        <v>212</v>
      </c>
      <c r="F21" s="6">
        <f>INDEX('7oferty p.'!B3:G28,MATCH(18,B4:B29,0),4)</f>
        <v>-16</v>
      </c>
      <c r="G21" s="42">
        <f>INDEX('7oferty p.'!B3:G28,MATCH(18,B4:B29,0),5)</f>
        <v>127</v>
      </c>
      <c r="H21" s="6">
        <f>INDEX('7oferty p.'!B3:G28,MATCH(18,B4:B29,0),6)</f>
        <v>69</v>
      </c>
    </row>
    <row r="22" spans="2:8" x14ac:dyDescent="0.2">
      <c r="B22" s="6">
        <f>RANK('7oferty p.'!C21,'7oferty p.'!$C$3:'7oferty p.'!$C$28,1)+COUNTIF('7oferty p.'!$C$3:'7oferty p.'!C21,'7oferty p.'!C21)-1</f>
        <v>14</v>
      </c>
      <c r="C22" s="5" t="str">
        <f>INDEX('7oferty p.'!B3:G28,MATCH(19,B4:B29,0),1)</f>
        <v>niżański</v>
      </c>
      <c r="D22" s="6">
        <f>INDEX('7oferty p.'!B3:G28,MATCH(19,B4:B29,0),2)</f>
        <v>209</v>
      </c>
      <c r="E22" s="42">
        <f>INDEX('7oferty p.'!B3:G28,MATCH(19,B4:B29,0),3)</f>
        <v>83</v>
      </c>
      <c r="F22" s="6">
        <f>INDEX('7oferty p.'!B3:G28,MATCH(19,B4:B29,0),4)</f>
        <v>126</v>
      </c>
      <c r="G22" s="42">
        <f>INDEX('7oferty p.'!B3:G28,MATCH(19,B4:B29,0),5)</f>
        <v>123</v>
      </c>
      <c r="H22" s="6">
        <f>INDEX('7oferty p.'!B3:G28,MATCH(19,B4:B29,0),6)</f>
        <v>86</v>
      </c>
    </row>
    <row r="23" spans="2:8" x14ac:dyDescent="0.2">
      <c r="B23" s="6">
        <f>RANK('7oferty p.'!C22,'7oferty p.'!$C$3:'7oferty p.'!$C$28,1)+COUNTIF('7oferty p.'!$C$3:'7oferty p.'!C22,'7oferty p.'!C22)-1</f>
        <v>17</v>
      </c>
      <c r="C23" s="5" t="str">
        <f>INDEX('7oferty p.'!B3:G28,MATCH(20,B4:B29,0),1)</f>
        <v>jarosławski</v>
      </c>
      <c r="D23" s="6">
        <f>INDEX('7oferty p.'!B3:G28,MATCH(20,B4:B29,0),2)</f>
        <v>212</v>
      </c>
      <c r="E23" s="42">
        <f>INDEX('7oferty p.'!B3:G28,MATCH(20,B4:B29,0),3)</f>
        <v>378</v>
      </c>
      <c r="F23" s="6">
        <f>INDEX('7oferty p.'!B3:G28,MATCH(20,B4:B29,0),4)</f>
        <v>-166</v>
      </c>
      <c r="G23" s="42">
        <f>INDEX('7oferty p.'!B3:G28,MATCH(20,B4:B29,0),5)</f>
        <v>187</v>
      </c>
      <c r="H23" s="6">
        <f>INDEX('7oferty p.'!B3:G28,MATCH(20,B4:B29,0),6)</f>
        <v>25</v>
      </c>
    </row>
    <row r="24" spans="2:8" x14ac:dyDescent="0.2">
      <c r="B24" s="6">
        <f>RANK('7oferty p.'!C23,'7oferty p.'!$C$3:'7oferty p.'!$C$28,1)+COUNTIF('7oferty p.'!$C$3:'7oferty p.'!C23,'7oferty p.'!C23)-1</f>
        <v>10</v>
      </c>
      <c r="C24" s="5" t="str">
        <f>INDEX('7oferty p.'!B3:G28,MATCH(21,B4:B29,0),1)</f>
        <v>przeworski</v>
      </c>
      <c r="D24" s="6">
        <f>INDEX('7oferty p.'!B3:G28,MATCH(21,B4:B29,0),2)</f>
        <v>222</v>
      </c>
      <c r="E24" s="42">
        <f>INDEX('7oferty p.'!B3:G28,MATCH(21,B4:B29,0),3)</f>
        <v>197</v>
      </c>
      <c r="F24" s="6">
        <f>INDEX('7oferty p.'!B3:G28,MATCH(21,B4:B29,0),4)</f>
        <v>25</v>
      </c>
      <c r="G24" s="42">
        <f>INDEX('7oferty p.'!B3:G28,MATCH(21,B4:B29,0),5)</f>
        <v>247</v>
      </c>
      <c r="H24" s="6">
        <f>INDEX('7oferty p.'!B3:G28,MATCH(21,B4:B29,0),6)</f>
        <v>-25</v>
      </c>
    </row>
    <row r="25" spans="2:8" x14ac:dyDescent="0.2">
      <c r="B25" s="6">
        <f>RANK('7oferty p.'!C24,'7oferty p.'!$C$3:'7oferty p.'!$C$28,1)+COUNTIF('7oferty p.'!$C$3:'7oferty p.'!C24,'7oferty p.'!C24)-1</f>
        <v>7</v>
      </c>
      <c r="C25" s="5" t="str">
        <f>INDEX('7oferty p.'!B3:G28,MATCH(22,B4:B29,0),1)</f>
        <v>mielecki</v>
      </c>
      <c r="D25" s="6">
        <f>INDEX('7oferty p.'!B3:G28,MATCH(22,B4:B29,0),2)</f>
        <v>238</v>
      </c>
      <c r="E25" s="42">
        <f>INDEX('7oferty p.'!B3:G28,MATCH(22,B4:B29,0),3)</f>
        <v>261</v>
      </c>
      <c r="F25" s="6">
        <f>INDEX('7oferty p.'!B3:G28,MATCH(22,B4:B29,0),4)</f>
        <v>-23</v>
      </c>
      <c r="G25" s="42">
        <f>INDEX('7oferty p.'!B3:G28,MATCH(22,B4:B29,0),5)</f>
        <v>252</v>
      </c>
      <c r="H25" s="6">
        <f>INDEX('7oferty p.'!B3:G28,MATCH(22,B4:B29,0),6)</f>
        <v>-14</v>
      </c>
    </row>
    <row r="26" spans="2:8" x14ac:dyDescent="0.2">
      <c r="B26" s="6">
        <f>RANK('7oferty p.'!C25,'7oferty p.'!$C$3:'7oferty p.'!$C$28,1)+COUNTIF('7oferty p.'!$C$3:'7oferty p.'!C25,'7oferty p.'!C25)-1</f>
        <v>9</v>
      </c>
      <c r="C26" s="5" t="str">
        <f>INDEX('7oferty p.'!B3:G28,MATCH(23,B4:B29,0),1)</f>
        <v>jasielski</v>
      </c>
      <c r="D26" s="6">
        <f>INDEX('7oferty p.'!B3:G28,MATCH(23,B4:B29,0),2)</f>
        <v>260</v>
      </c>
      <c r="E26" s="42">
        <f>INDEX('7oferty p.'!B3:G28,MATCH(23,B4:B29,0),3)</f>
        <v>281</v>
      </c>
      <c r="F26" s="6">
        <f>INDEX('7oferty p.'!B3:G28,MATCH(23,B4:B29,0),4)</f>
        <v>-21</v>
      </c>
      <c r="G26" s="42">
        <f>INDEX('7oferty p.'!B3:G28,MATCH(23,B4:B29,0),5)</f>
        <v>228</v>
      </c>
      <c r="H26" s="6">
        <f>INDEX('7oferty p.'!B3:G28,MATCH(23,B4:B29,0),6)</f>
        <v>32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dębicki</v>
      </c>
      <c r="D27" s="6">
        <f>INDEX('7oferty p.'!B3:G28,MATCH(24,B4:B29,0),2)</f>
        <v>295</v>
      </c>
      <c r="E27" s="42">
        <f>INDEX('7oferty p.'!B3:G28,MATCH(24,B4:B29,0),3)</f>
        <v>254</v>
      </c>
      <c r="F27" s="6">
        <f>INDEX('7oferty p.'!B3:G28,MATCH(24,B4:B29,0),4)</f>
        <v>41</v>
      </c>
      <c r="G27" s="42">
        <f>INDEX('7oferty p.'!B3:G28,MATCH(24,B4:B29,0),5)</f>
        <v>248</v>
      </c>
      <c r="H27" s="6">
        <f>INDEX('7oferty p.'!B3:G28,MATCH(24,B4:B29,0),6)</f>
        <v>47</v>
      </c>
    </row>
    <row r="28" spans="2:8" x14ac:dyDescent="0.2">
      <c r="B28" s="6">
        <f>RANK('7oferty p.'!C27,'7oferty p.'!$C$3:'7oferty p.'!$C$28,1)+COUNTIF('7oferty p.'!$C$3:'7oferty p.'!C27,'7oferty p.'!C27)-1</f>
        <v>8</v>
      </c>
      <c r="C28" s="5" t="str">
        <f>INDEX('7oferty p.'!B3:G28,MATCH(25,B4:B29,0),1)</f>
        <v>Rzeszów</v>
      </c>
      <c r="D28" s="6">
        <f>INDEX('7oferty p.'!B3:G28,MATCH(25,B4:B29,0),2)</f>
        <v>454</v>
      </c>
      <c r="E28" s="42">
        <f>INDEX('7oferty p.'!B3:G28,MATCH(25,B4:B29,0),3)</f>
        <v>596</v>
      </c>
      <c r="F28" s="6">
        <f>INDEX('7oferty p.'!B3:G28,MATCH(25,B4:B29,0),4)</f>
        <v>-142</v>
      </c>
      <c r="G28" s="42">
        <f>INDEX('7oferty p.'!B3:G28,MATCH(25,B4:B29,0),5)</f>
        <v>487</v>
      </c>
      <c r="H28" s="6">
        <f>INDEX('7oferty p.'!B3:G28,MATCH(25,B4:B29,0),6)</f>
        <v>-33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3799</v>
      </c>
      <c r="E29" s="44">
        <f>INDEX('7oferty p.'!B3:G28,MATCH(26,B4:B29,0),3)</f>
        <v>4095</v>
      </c>
      <c r="F29" s="40">
        <f>INDEX('7oferty p.'!B3:G28,MATCH(26,B4:B29,0),4)</f>
        <v>-296</v>
      </c>
      <c r="G29" s="44">
        <f>INDEX('7oferty p.'!B3:G28,MATCH(26,B4:B29,0),5)</f>
        <v>3509</v>
      </c>
      <c r="H29" s="40">
        <f>INDEX('7oferty p.'!B3:G28,MATCH(26,B4:B29,0),6)</f>
        <v>290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73</v>
      </c>
      <c r="E3" s="37" t="s">
        <v>28</v>
      </c>
      <c r="F3" s="38" t="s">
        <v>95</v>
      </c>
      <c r="G3" s="37" t="s">
        <v>26</v>
      </c>
    </row>
    <row r="4" spans="2:11" x14ac:dyDescent="0.2">
      <c r="B4" s="5" t="s">
        <v>0</v>
      </c>
      <c r="C4" s="28">
        <v>20</v>
      </c>
      <c r="D4" s="42">
        <v>149</v>
      </c>
      <c r="E4" s="28">
        <f t="shared" ref="E4:E28" si="0">SUM(C4)-D4</f>
        <v>-129</v>
      </c>
      <c r="F4" s="42">
        <v>4</v>
      </c>
      <c r="G4" s="28">
        <f t="shared" ref="G4:G28" si="1">SUM(C4)-F4</f>
        <v>16</v>
      </c>
      <c r="H4" s="7"/>
    </row>
    <row r="5" spans="2:11" x14ac:dyDescent="0.2">
      <c r="B5" s="5" t="s">
        <v>1</v>
      </c>
      <c r="C5" s="28">
        <v>152</v>
      </c>
      <c r="D5" s="42">
        <v>50</v>
      </c>
      <c r="E5" s="28">
        <f t="shared" si="0"/>
        <v>102</v>
      </c>
      <c r="F5" s="42">
        <v>122</v>
      </c>
      <c r="G5" s="28">
        <f t="shared" si="1"/>
        <v>30</v>
      </c>
      <c r="H5" s="7"/>
    </row>
    <row r="6" spans="2:11" x14ac:dyDescent="0.2">
      <c r="B6" s="5" t="s">
        <v>2</v>
      </c>
      <c r="C6" s="28">
        <v>69</v>
      </c>
      <c r="D6" s="42">
        <v>59</v>
      </c>
      <c r="E6" s="28">
        <f t="shared" si="0"/>
        <v>10</v>
      </c>
      <c r="F6" s="42">
        <v>57</v>
      </c>
      <c r="G6" s="28">
        <f t="shared" si="1"/>
        <v>12</v>
      </c>
      <c r="H6" s="7"/>
    </row>
    <row r="7" spans="2:11" x14ac:dyDescent="0.2">
      <c r="B7" s="5" t="s">
        <v>3</v>
      </c>
      <c r="C7" s="28">
        <v>92</v>
      </c>
      <c r="D7" s="42">
        <v>322</v>
      </c>
      <c r="E7" s="28">
        <f t="shared" si="0"/>
        <v>-230</v>
      </c>
      <c r="F7" s="42">
        <v>148</v>
      </c>
      <c r="G7" s="28">
        <f t="shared" si="1"/>
        <v>-56</v>
      </c>
      <c r="H7" s="7"/>
    </row>
    <row r="8" spans="2:11" x14ac:dyDescent="0.2">
      <c r="B8" s="5" t="s">
        <v>4</v>
      </c>
      <c r="C8" s="28">
        <v>111</v>
      </c>
      <c r="D8" s="42">
        <v>127</v>
      </c>
      <c r="E8" s="28">
        <f t="shared" si="0"/>
        <v>-16</v>
      </c>
      <c r="F8" s="42">
        <v>137</v>
      </c>
      <c r="G8" s="28">
        <f t="shared" si="1"/>
        <v>-26</v>
      </c>
      <c r="H8" s="7"/>
    </row>
    <row r="9" spans="2:11" x14ac:dyDescent="0.2">
      <c r="B9" s="5" t="s">
        <v>5</v>
      </c>
      <c r="C9" s="28">
        <v>46</v>
      </c>
      <c r="D9" s="42">
        <v>61</v>
      </c>
      <c r="E9" s="28">
        <f t="shared" si="0"/>
        <v>-15</v>
      </c>
      <c r="F9" s="42">
        <v>70</v>
      </c>
      <c r="G9" s="28">
        <f t="shared" si="1"/>
        <v>-24</v>
      </c>
      <c r="H9" s="7"/>
    </row>
    <row r="10" spans="2:11" x14ac:dyDescent="0.2">
      <c r="B10" s="9" t="s">
        <v>6</v>
      </c>
      <c r="C10" s="28">
        <v>47</v>
      </c>
      <c r="D10" s="42">
        <v>51</v>
      </c>
      <c r="E10" s="28">
        <f t="shared" si="0"/>
        <v>-4</v>
      </c>
      <c r="F10" s="42">
        <v>39</v>
      </c>
      <c r="G10" s="28">
        <f t="shared" si="1"/>
        <v>8</v>
      </c>
      <c r="H10" s="7"/>
    </row>
    <row r="11" spans="2:11" x14ac:dyDescent="0.2">
      <c r="B11" s="5" t="s">
        <v>7</v>
      </c>
      <c r="C11" s="28">
        <v>48</v>
      </c>
      <c r="D11" s="42">
        <v>58</v>
      </c>
      <c r="E11" s="28">
        <f t="shared" si="0"/>
        <v>-10</v>
      </c>
      <c r="F11" s="42">
        <v>37</v>
      </c>
      <c r="G11" s="28">
        <f t="shared" si="1"/>
        <v>11</v>
      </c>
      <c r="H11" s="7"/>
    </row>
    <row r="12" spans="2:11" x14ac:dyDescent="0.2">
      <c r="B12" s="5" t="s">
        <v>8</v>
      </c>
      <c r="C12" s="28">
        <v>166</v>
      </c>
      <c r="D12" s="42">
        <v>132</v>
      </c>
      <c r="E12" s="28">
        <f t="shared" si="0"/>
        <v>34</v>
      </c>
      <c r="F12" s="42">
        <v>98</v>
      </c>
      <c r="G12" s="28">
        <f t="shared" si="1"/>
        <v>68</v>
      </c>
      <c r="H12" s="7"/>
    </row>
    <row r="13" spans="2:11" x14ac:dyDescent="0.2">
      <c r="B13" s="5" t="s">
        <v>9</v>
      </c>
      <c r="C13" s="28">
        <v>104</v>
      </c>
      <c r="D13" s="42">
        <v>81</v>
      </c>
      <c r="E13" s="28">
        <f t="shared" si="0"/>
        <v>23</v>
      </c>
      <c r="F13" s="42">
        <v>84</v>
      </c>
      <c r="G13" s="28">
        <f t="shared" si="1"/>
        <v>20</v>
      </c>
      <c r="H13" s="7"/>
    </row>
    <row r="14" spans="2:11" x14ac:dyDescent="0.2">
      <c r="B14" s="5" t="s">
        <v>10</v>
      </c>
      <c r="C14" s="28">
        <v>98</v>
      </c>
      <c r="D14" s="42">
        <v>89</v>
      </c>
      <c r="E14" s="28">
        <f t="shared" si="0"/>
        <v>9</v>
      </c>
      <c r="F14" s="42">
        <v>73</v>
      </c>
      <c r="G14" s="28">
        <f t="shared" si="1"/>
        <v>25</v>
      </c>
      <c r="H14" s="7"/>
    </row>
    <row r="15" spans="2:11" x14ac:dyDescent="0.2">
      <c r="B15" s="5" t="s">
        <v>11</v>
      </c>
      <c r="C15" s="28">
        <v>118</v>
      </c>
      <c r="D15" s="42">
        <v>125</v>
      </c>
      <c r="E15" s="28">
        <f t="shared" si="0"/>
        <v>-7</v>
      </c>
      <c r="F15" s="42">
        <v>117</v>
      </c>
      <c r="G15" s="28">
        <f t="shared" si="1"/>
        <v>1</v>
      </c>
      <c r="H15" s="7"/>
    </row>
    <row r="16" spans="2:11" x14ac:dyDescent="0.2">
      <c r="B16" s="5" t="s">
        <v>12</v>
      </c>
      <c r="C16" s="28">
        <v>187</v>
      </c>
      <c r="D16" s="42">
        <v>71</v>
      </c>
      <c r="E16" s="28">
        <f t="shared" si="0"/>
        <v>116</v>
      </c>
      <c r="F16" s="42">
        <v>107</v>
      </c>
      <c r="G16" s="28">
        <f t="shared" si="1"/>
        <v>80</v>
      </c>
      <c r="H16" s="7"/>
    </row>
    <row r="17" spans="2:8" x14ac:dyDescent="0.2">
      <c r="B17" s="5" t="s">
        <v>13</v>
      </c>
      <c r="C17" s="28">
        <v>40</v>
      </c>
      <c r="D17" s="42">
        <v>86</v>
      </c>
      <c r="E17" s="28">
        <f t="shared" si="0"/>
        <v>-46</v>
      </c>
      <c r="F17" s="42">
        <v>76</v>
      </c>
      <c r="G17" s="28">
        <f t="shared" si="1"/>
        <v>-36</v>
      </c>
      <c r="H17" s="7"/>
    </row>
    <row r="18" spans="2:8" x14ac:dyDescent="0.2">
      <c r="B18" s="5" t="s">
        <v>14</v>
      </c>
      <c r="C18" s="28">
        <v>83</v>
      </c>
      <c r="D18" s="42">
        <v>124</v>
      </c>
      <c r="E18" s="28">
        <f t="shared" si="0"/>
        <v>-41</v>
      </c>
      <c r="F18" s="42">
        <v>126</v>
      </c>
      <c r="G18" s="28">
        <f t="shared" si="1"/>
        <v>-43</v>
      </c>
      <c r="H18" s="7"/>
    </row>
    <row r="19" spans="2:8" x14ac:dyDescent="0.2">
      <c r="B19" s="5" t="s">
        <v>15</v>
      </c>
      <c r="C19" s="28">
        <v>55</v>
      </c>
      <c r="D19" s="42">
        <v>64</v>
      </c>
      <c r="E19" s="28">
        <f t="shared" si="0"/>
        <v>-9</v>
      </c>
      <c r="F19" s="42">
        <v>50</v>
      </c>
      <c r="G19" s="28">
        <f t="shared" si="1"/>
        <v>5</v>
      </c>
      <c r="H19" s="7"/>
    </row>
    <row r="20" spans="2:8" x14ac:dyDescent="0.2">
      <c r="B20" s="5" t="s">
        <v>16</v>
      </c>
      <c r="C20" s="28">
        <v>64</v>
      </c>
      <c r="D20" s="42">
        <v>77</v>
      </c>
      <c r="E20" s="28">
        <f t="shared" si="0"/>
        <v>-13</v>
      </c>
      <c r="F20" s="42">
        <v>74</v>
      </c>
      <c r="G20" s="28">
        <f t="shared" si="1"/>
        <v>-10</v>
      </c>
      <c r="H20" s="7"/>
    </row>
    <row r="21" spans="2:8" x14ac:dyDescent="0.2">
      <c r="B21" s="5" t="s">
        <v>17</v>
      </c>
      <c r="C21" s="28">
        <v>49</v>
      </c>
      <c r="D21" s="42">
        <v>20</v>
      </c>
      <c r="E21" s="28">
        <f t="shared" si="0"/>
        <v>29</v>
      </c>
      <c r="F21" s="42">
        <v>39</v>
      </c>
      <c r="G21" s="28">
        <f t="shared" si="1"/>
        <v>10</v>
      </c>
      <c r="H21" s="7"/>
    </row>
    <row r="22" spans="2:8" x14ac:dyDescent="0.2">
      <c r="B22" s="5" t="s">
        <v>18</v>
      </c>
      <c r="C22" s="28">
        <v>82</v>
      </c>
      <c r="D22" s="42">
        <v>66</v>
      </c>
      <c r="E22" s="28">
        <f t="shared" si="0"/>
        <v>16</v>
      </c>
      <c r="F22" s="42">
        <v>96</v>
      </c>
      <c r="G22" s="28">
        <f t="shared" si="1"/>
        <v>-14</v>
      </c>
      <c r="H22" s="7"/>
    </row>
    <row r="23" spans="2:8" x14ac:dyDescent="0.2">
      <c r="B23" s="5" t="s">
        <v>19</v>
      </c>
      <c r="C23" s="28">
        <v>98</v>
      </c>
      <c r="D23" s="42">
        <v>158</v>
      </c>
      <c r="E23" s="28">
        <f t="shared" si="0"/>
        <v>-60</v>
      </c>
      <c r="F23" s="42">
        <v>109</v>
      </c>
      <c r="G23" s="28">
        <f t="shared" si="1"/>
        <v>-11</v>
      </c>
      <c r="H23" s="7"/>
    </row>
    <row r="24" spans="2:8" x14ac:dyDescent="0.2">
      <c r="B24" s="5" t="s">
        <v>20</v>
      </c>
      <c r="C24" s="28">
        <v>69</v>
      </c>
      <c r="D24" s="42">
        <v>51</v>
      </c>
      <c r="E24" s="28">
        <f t="shared" si="0"/>
        <v>18</v>
      </c>
      <c r="F24" s="42">
        <v>47</v>
      </c>
      <c r="G24" s="28">
        <f t="shared" si="1"/>
        <v>22</v>
      </c>
      <c r="H24" s="7"/>
    </row>
    <row r="25" spans="2:8" x14ac:dyDescent="0.2">
      <c r="B25" s="5" t="s">
        <v>21</v>
      </c>
      <c r="C25" s="28">
        <v>49</v>
      </c>
      <c r="D25" s="42">
        <v>41</v>
      </c>
      <c r="E25" s="28">
        <f t="shared" si="0"/>
        <v>8</v>
      </c>
      <c r="F25" s="42">
        <v>45</v>
      </c>
      <c r="G25" s="28">
        <f t="shared" si="1"/>
        <v>4</v>
      </c>
      <c r="H25" s="7"/>
    </row>
    <row r="26" spans="2:8" x14ac:dyDescent="0.2">
      <c r="B26" s="5" t="s">
        <v>22</v>
      </c>
      <c r="C26" s="28">
        <v>61</v>
      </c>
      <c r="D26" s="42">
        <v>67</v>
      </c>
      <c r="E26" s="28">
        <f t="shared" si="0"/>
        <v>-6</v>
      </c>
      <c r="F26" s="42">
        <v>71</v>
      </c>
      <c r="G26" s="28">
        <f t="shared" si="1"/>
        <v>-10</v>
      </c>
      <c r="H26" s="7"/>
    </row>
    <row r="27" spans="2:8" x14ac:dyDescent="0.2">
      <c r="B27" s="5" t="s">
        <v>23</v>
      </c>
      <c r="C27" s="28">
        <v>84</v>
      </c>
      <c r="D27" s="42">
        <v>176</v>
      </c>
      <c r="E27" s="28">
        <f t="shared" si="0"/>
        <v>-92</v>
      </c>
      <c r="F27" s="42">
        <v>105</v>
      </c>
      <c r="G27" s="28">
        <f t="shared" si="1"/>
        <v>-21</v>
      </c>
      <c r="H27" s="7"/>
    </row>
    <row r="28" spans="2:8" x14ac:dyDescent="0.2">
      <c r="B28" s="5" t="s">
        <v>24</v>
      </c>
      <c r="C28" s="28">
        <v>57</v>
      </c>
      <c r="D28" s="42">
        <v>39</v>
      </c>
      <c r="E28" s="28">
        <f t="shared" si="0"/>
        <v>18</v>
      </c>
      <c r="F28" s="42">
        <v>35</v>
      </c>
      <c r="G28" s="28">
        <f t="shared" si="1"/>
        <v>22</v>
      </c>
      <c r="H28" s="7"/>
    </row>
    <row r="29" spans="2:8" ht="15" x14ac:dyDescent="0.25">
      <c r="B29" s="39" t="s">
        <v>25</v>
      </c>
      <c r="C29" s="48">
        <f>SUM(C4:C28)</f>
        <v>2049</v>
      </c>
      <c r="D29" s="44">
        <f>SUM(D4:D28)</f>
        <v>2344</v>
      </c>
      <c r="E29" s="48">
        <f>SUM(E4:E28)</f>
        <v>-295</v>
      </c>
      <c r="F29" s="44">
        <f>SUM(F4:F28)</f>
        <v>1966</v>
      </c>
      <c r="G29" s="48">
        <f>SUM(G4:G28)</f>
        <v>83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6.71093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03-'25 r.</v>
      </c>
      <c r="E3" s="36" t="str">
        <f>T('8oferty s.'!D3)</f>
        <v>liczba ofert w 02-'25 r.</v>
      </c>
      <c r="F3" s="36" t="str">
        <f>T('8oferty s.'!E3)</f>
        <v>wzrost/spadek do poprzedniego  miesiąca</v>
      </c>
      <c r="G3" s="36" t="str">
        <f>T('8oferty s.'!F3)</f>
        <v>liczba ofert w 03-'24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1</v>
      </c>
      <c r="C4" s="5" t="str">
        <f>INDEX('8oferty s.'!B4:G29,MATCH(1,B4:B29,0),1)</f>
        <v>bieszczadzki</v>
      </c>
      <c r="D4" s="24">
        <f>INDEX('8oferty s.'!B4:G29,MATCH(1,B4:B29,0),2)</f>
        <v>20</v>
      </c>
      <c r="E4" s="42">
        <f>INDEX('8oferty s.'!B4:G29,MATCH(1,B4:B29,0),3)</f>
        <v>149</v>
      </c>
      <c r="F4" s="6">
        <f>INDEX('8oferty s.'!B4:G29,MATCH(1,B4:B29,0),4)</f>
        <v>-129</v>
      </c>
      <c r="G4" s="42">
        <f>INDEX('8oferty s.'!B4:G29,MATCH(1,B4:B29,0),5)</f>
        <v>4</v>
      </c>
      <c r="H4" s="6">
        <f>INDEX('8oferty s.'!B4:G29,MATCH(1,B4:B29,0),6)</f>
        <v>16</v>
      </c>
    </row>
    <row r="5" spans="2:8" x14ac:dyDescent="0.2">
      <c r="B5" s="6">
        <f>RANK('8oferty s.'!C5,'8oferty s.'!$C$4:'8oferty s.'!$C$29,1)+COUNTIF('8oferty s.'!$C$4:'8oferty s.'!C5,'8oferty s.'!C5)-1</f>
        <v>23</v>
      </c>
      <c r="C5" s="5" t="str">
        <f>INDEX('8oferty s.'!B4:G29,MATCH(2,B4:B29,0),1)</f>
        <v>przemyski</v>
      </c>
      <c r="D5" s="6">
        <f>INDEX('8oferty s.'!B4:G29,MATCH(2,B4:B29,0),2)</f>
        <v>40</v>
      </c>
      <c r="E5" s="42">
        <f>INDEX('8oferty s.'!B4:G29,MATCH(2,B4:B29,0),3)</f>
        <v>86</v>
      </c>
      <c r="F5" s="6">
        <f>INDEX('8oferty s.'!B4:G29,MATCH(2,B4:B29,0),4)</f>
        <v>-46</v>
      </c>
      <c r="G5" s="42">
        <f>INDEX('8oferty s.'!B4:G29,MATCH(2,B4:B29,0),5)</f>
        <v>76</v>
      </c>
      <c r="H5" s="6">
        <f>INDEX('8oferty s.'!B4:G29,MATCH(2,B4:B29,0),6)</f>
        <v>-36</v>
      </c>
    </row>
    <row r="6" spans="2:8" x14ac:dyDescent="0.2">
      <c r="B6" s="6">
        <f>RANK('8oferty s.'!C6,'8oferty s.'!$C$4:'8oferty s.'!$C$29,1)+COUNTIF('8oferty s.'!$C$4:'8oferty s.'!C6,'8oferty s.'!C6)-1</f>
        <v>12</v>
      </c>
      <c r="C6" s="5" t="str">
        <f>INDEX('8oferty s.'!B4:G29,MATCH(3,B4:B29,0),1)</f>
        <v>kolbuszowski</v>
      </c>
      <c r="D6" s="6">
        <f>INDEX('8oferty s.'!B4:G29,MATCH(3,B4:B29,0),2)</f>
        <v>46</v>
      </c>
      <c r="E6" s="42">
        <f>INDEX('8oferty s.'!B4:G29,MATCH(3,B4:B29,0),3)</f>
        <v>61</v>
      </c>
      <c r="F6" s="6">
        <f>INDEX('8oferty s.'!B4:G29,MATCH(3,B4:B29,0),4)</f>
        <v>-15</v>
      </c>
      <c r="G6" s="42">
        <f>INDEX('8oferty s.'!B4:G29,MATCH(3,B4:B29,0),5)</f>
        <v>70</v>
      </c>
      <c r="H6" s="6">
        <f>INDEX('8oferty s.'!B4:G29,MATCH(3,B4:B29,0),6)</f>
        <v>-24</v>
      </c>
    </row>
    <row r="7" spans="2:8" x14ac:dyDescent="0.2">
      <c r="B7" s="6">
        <f>RANK('8oferty s.'!C7,'8oferty s.'!$C$4:'8oferty s.'!$C$29,1)+COUNTIF('8oferty s.'!$C$4:'8oferty s.'!C7,'8oferty s.'!C7)-1</f>
        <v>17</v>
      </c>
      <c r="C7" s="5" t="str">
        <f>INDEX('8oferty s.'!B4:G29,MATCH(4,B4:B29,0),1)</f>
        <v>krośnieński</v>
      </c>
      <c r="D7" s="6">
        <f>INDEX('8oferty s.'!B4:G29,MATCH(4,B4:B29,0),2)</f>
        <v>47</v>
      </c>
      <c r="E7" s="42">
        <f>INDEX('8oferty s.'!B4:G29,MATCH(4,B4:B29,0),3)</f>
        <v>51</v>
      </c>
      <c r="F7" s="6">
        <f>INDEX('8oferty s.'!B4:G29,MATCH(4,B4:B29,0),4)</f>
        <v>-4</v>
      </c>
      <c r="G7" s="42">
        <f>INDEX('8oferty s.'!B4:G29,MATCH(4,B4:B29,0),5)</f>
        <v>39</v>
      </c>
      <c r="H7" s="6">
        <f>INDEX('8oferty s.'!B4:G29,MATCH(4,B4:B29,0),6)</f>
        <v>8</v>
      </c>
    </row>
    <row r="8" spans="2:8" x14ac:dyDescent="0.2">
      <c r="B8" s="6">
        <f>RANK('8oferty s.'!C8,'8oferty s.'!$C$4:'8oferty s.'!$C$29,1)+COUNTIF('8oferty s.'!$C$4:'8oferty s.'!C8,'8oferty s.'!C8)-1</f>
        <v>21</v>
      </c>
      <c r="C8" s="5" t="str">
        <f>INDEX('8oferty s.'!B4:G29,MATCH(5,B4:B29,0),1)</f>
        <v>leski</v>
      </c>
      <c r="D8" s="6">
        <f>INDEX('8oferty s.'!B4:G29,MATCH(5,B4:B29,0),2)</f>
        <v>48</v>
      </c>
      <c r="E8" s="42">
        <f>INDEX('8oferty s.'!B4:G29,MATCH(5,B4:B29,0),3)</f>
        <v>58</v>
      </c>
      <c r="F8" s="6">
        <f>INDEX('8oferty s.'!B4:G29,MATCH(5,B4:B29,0),4)</f>
        <v>-10</v>
      </c>
      <c r="G8" s="42">
        <f>INDEX('8oferty s.'!B4:G29,MATCH(5,B4:B29,0),5)</f>
        <v>37</v>
      </c>
      <c r="H8" s="6">
        <f>INDEX('8oferty s.'!B4:G29,MATCH(5,B4:B29,0),6)</f>
        <v>11</v>
      </c>
    </row>
    <row r="9" spans="2:8" x14ac:dyDescent="0.2">
      <c r="B9" s="6">
        <f>RANK('8oferty s.'!C9,'8oferty s.'!$C$4:'8oferty s.'!$C$29,1)+COUNTIF('8oferty s.'!$C$4:'8oferty s.'!C9,'8oferty s.'!C9)-1</f>
        <v>3</v>
      </c>
      <c r="C9" s="5" t="str">
        <f>INDEX('8oferty s.'!B4:G29,MATCH(6,B4:B29,0),1)</f>
        <v>sanocki</v>
      </c>
      <c r="D9" s="6">
        <f>INDEX('8oferty s.'!B4:G29,MATCH(6,B4:B29,0),2)</f>
        <v>49</v>
      </c>
      <c r="E9" s="42">
        <f>INDEX('8oferty s.'!B4:G29,MATCH(6,B4:B29,0),3)</f>
        <v>20</v>
      </c>
      <c r="F9" s="6">
        <f>INDEX('8oferty s.'!B4:G29,MATCH(6,B4:B29,0),4)</f>
        <v>29</v>
      </c>
      <c r="G9" s="42">
        <f>INDEX('8oferty s.'!B4:G29,MATCH(6,B4:B29,0),5)</f>
        <v>39</v>
      </c>
      <c r="H9" s="6">
        <f>INDEX('8oferty s.'!B4:G29,MATCH(6,B4:B29,0),6)</f>
        <v>10</v>
      </c>
    </row>
    <row r="10" spans="2:8" x14ac:dyDescent="0.2">
      <c r="B10" s="6">
        <f>RANK('8oferty s.'!C10,'8oferty s.'!$C$4:'8oferty s.'!$C$29,1)+COUNTIF('8oferty s.'!$C$4:'8oferty s.'!C10,'8oferty s.'!C10)-1</f>
        <v>4</v>
      </c>
      <c r="C10" s="9" t="str">
        <f>INDEX('8oferty s.'!B4:G29,MATCH(7,B4:B29,0),1)</f>
        <v>Krosno</v>
      </c>
      <c r="D10" s="6">
        <f>INDEX('8oferty s.'!B4:G29,MATCH(7,B4:B29,0),2)</f>
        <v>49</v>
      </c>
      <c r="E10" s="42">
        <f>INDEX('8oferty s.'!B4:G29,MATCH(7,B4:B29,0),3)</f>
        <v>41</v>
      </c>
      <c r="F10" s="6">
        <f>INDEX('8oferty s.'!B4:G29,MATCH(7,B4:B29,0),4)</f>
        <v>8</v>
      </c>
      <c r="G10" s="42">
        <f>INDEX('8oferty s.'!B4:G29,MATCH(7,B4:B29,0),5)</f>
        <v>45</v>
      </c>
      <c r="H10" s="6">
        <f>INDEX('8oferty s.'!B4:G29,MATCH(7,B4:B29,0),6)</f>
        <v>4</v>
      </c>
    </row>
    <row r="11" spans="2:8" x14ac:dyDescent="0.2">
      <c r="B11" s="6">
        <f>RANK('8oferty s.'!C11,'8oferty s.'!$C$4:'8oferty s.'!$C$29,1)+COUNTIF('8oferty s.'!$C$4:'8oferty s.'!C11,'8oferty s.'!C11)-1</f>
        <v>5</v>
      </c>
      <c r="C11" s="5" t="str">
        <f>INDEX('8oferty s.'!B4:G29,MATCH(8,B4:B29,0),1)</f>
        <v>ropczycko-sędziszowski</v>
      </c>
      <c r="D11" s="6">
        <f>INDEX('8oferty s.'!B4:G29,MATCH(8,B4:B29,0),2)</f>
        <v>55</v>
      </c>
      <c r="E11" s="42">
        <f>INDEX('8oferty s.'!B4:G29,MATCH(8,B4:B29,0),3)</f>
        <v>64</v>
      </c>
      <c r="F11" s="6">
        <f>INDEX('8oferty s.'!B4:G29,MATCH(8,B4:B29,0),4)</f>
        <v>-9</v>
      </c>
      <c r="G11" s="42">
        <f>INDEX('8oferty s.'!B4:G29,MATCH(8,B4:B29,0),5)</f>
        <v>50</v>
      </c>
      <c r="H11" s="6">
        <f>INDEX('8oferty s.'!B4:G29,MATCH(8,B4:B29,0),6)</f>
        <v>5</v>
      </c>
    </row>
    <row r="12" spans="2:8" x14ac:dyDescent="0.2">
      <c r="B12" s="6">
        <f>RANK('8oferty s.'!C12,'8oferty s.'!$C$4:'8oferty s.'!$C$29,1)+COUNTIF('8oferty s.'!$C$4:'8oferty s.'!C12,'8oferty s.'!C12)-1</f>
        <v>24</v>
      </c>
      <c r="C12" s="5" t="str">
        <f>INDEX('8oferty s.'!B4:G29,MATCH(9,B4:B29,0),1)</f>
        <v>Tarnobrzeg</v>
      </c>
      <c r="D12" s="6">
        <f>INDEX('8oferty s.'!B4:G29,MATCH(9,B4:B29,0),2)</f>
        <v>57</v>
      </c>
      <c r="E12" s="42">
        <f>INDEX('8oferty s.'!B4:G29,MATCH(9,B4:B29,0),3)</f>
        <v>39</v>
      </c>
      <c r="F12" s="6">
        <f>INDEX('8oferty s.'!B4:G29,MATCH(9,B4:B29,0),4)</f>
        <v>18</v>
      </c>
      <c r="G12" s="42">
        <f>INDEX('8oferty s.'!B4:G29,MATCH(9,B4:B29,0),5)</f>
        <v>35</v>
      </c>
      <c r="H12" s="6">
        <f>INDEX('8oferty s.'!B4:G29,MATCH(9,B4:B29,0),6)</f>
        <v>22</v>
      </c>
    </row>
    <row r="13" spans="2:8" x14ac:dyDescent="0.2">
      <c r="B13" s="6">
        <f>RANK('8oferty s.'!C13,'8oferty s.'!$C$4:'8oferty s.'!$C$29,1)+COUNTIF('8oferty s.'!$C$4:'8oferty s.'!C13,'8oferty s.'!C13)-1</f>
        <v>20</v>
      </c>
      <c r="C13" s="5" t="str">
        <f>INDEX('8oferty s.'!B4:G29,MATCH(10,B4:B29,0),1)</f>
        <v>Przemyśl</v>
      </c>
      <c r="D13" s="6">
        <f>INDEX('8oferty s.'!B4:G29,MATCH(10,B4:B29,0),2)</f>
        <v>61</v>
      </c>
      <c r="E13" s="42">
        <f>INDEX('8oferty s.'!B4:G29,MATCH(10,B4:B29,0),3)</f>
        <v>67</v>
      </c>
      <c r="F13" s="6">
        <f>INDEX('8oferty s.'!B4:G29,MATCH(10,B4:B29,0),4)</f>
        <v>-6</v>
      </c>
      <c r="G13" s="42">
        <f>INDEX('8oferty s.'!B4:G29,MATCH(10,B4:B29,0),5)</f>
        <v>71</v>
      </c>
      <c r="H13" s="6">
        <f>INDEX('8oferty s.'!B4:G29,MATCH(10,B4:B29,0),6)</f>
        <v>-10</v>
      </c>
    </row>
    <row r="14" spans="2:8" x14ac:dyDescent="0.2">
      <c r="B14" s="6">
        <f>RANK('8oferty s.'!C14,'8oferty s.'!$C$4:'8oferty s.'!$C$29,1)+COUNTIF('8oferty s.'!$C$4:'8oferty s.'!C14,'8oferty s.'!C14)-1</f>
        <v>18</v>
      </c>
      <c r="C14" s="5" t="str">
        <f>INDEX('8oferty s.'!B4:G29,MATCH(11,B4:B29,0),1)</f>
        <v>rzeszowski</v>
      </c>
      <c r="D14" s="6">
        <f>INDEX('8oferty s.'!B4:G29,MATCH(11,B4:B29,0),2)</f>
        <v>64</v>
      </c>
      <c r="E14" s="42">
        <f>INDEX('8oferty s.'!B4:G29,MATCH(11,B4:B29,0),3)</f>
        <v>77</v>
      </c>
      <c r="F14" s="6">
        <f>INDEX('8oferty s.'!B4:G29,MATCH(11,B4:B29,0),4)</f>
        <v>-13</v>
      </c>
      <c r="G14" s="42">
        <f>INDEX('8oferty s.'!B4:G29,MATCH(11,B4:B29,0),5)</f>
        <v>74</v>
      </c>
      <c r="H14" s="6">
        <f>INDEX('8oferty s.'!B4:G29,MATCH(11,B4:B29,0),6)</f>
        <v>-10</v>
      </c>
    </row>
    <row r="15" spans="2:8" x14ac:dyDescent="0.2">
      <c r="B15" s="6">
        <f>RANK('8oferty s.'!C15,'8oferty s.'!$C$4:'8oferty s.'!$C$29,1)+COUNTIF('8oferty s.'!$C$4:'8oferty s.'!C15,'8oferty s.'!C15)-1</f>
        <v>22</v>
      </c>
      <c r="C15" s="5" t="str">
        <f>INDEX('8oferty s.'!B4:G29,MATCH(12,B4:B29,0),1)</f>
        <v>dębicki</v>
      </c>
      <c r="D15" s="6">
        <f>INDEX('8oferty s.'!B4:G29,MATCH(12,B4:B29,0),2)</f>
        <v>69</v>
      </c>
      <c r="E15" s="42">
        <f>INDEX('8oferty s.'!B4:G29,MATCH(12,B4:B29,0),3)</f>
        <v>59</v>
      </c>
      <c r="F15" s="6">
        <f>INDEX('8oferty s.'!B4:G29,MATCH(12,B4:B29,0),4)</f>
        <v>10</v>
      </c>
      <c r="G15" s="42">
        <f>INDEX('8oferty s.'!B4:G29,MATCH(12,B4:B29,0),5)</f>
        <v>57</v>
      </c>
      <c r="H15" s="6">
        <f>INDEX('8oferty s.'!B4:G29,MATCH(12,B4:B29,0),6)</f>
        <v>12</v>
      </c>
    </row>
    <row r="16" spans="2:8" x14ac:dyDescent="0.2">
      <c r="B16" s="6">
        <f>RANK('8oferty s.'!C16,'8oferty s.'!$C$4:'8oferty s.'!$C$29,1)+COUNTIF('8oferty s.'!$C$4:'8oferty s.'!C16,'8oferty s.'!C16)-1</f>
        <v>25</v>
      </c>
      <c r="C16" s="5" t="str">
        <f>INDEX('8oferty s.'!B4:G29,MATCH(13,B4:B29,0),1)</f>
        <v xml:space="preserve">tarnobrzeski </v>
      </c>
      <c r="D16" s="6">
        <f>INDEX('8oferty s.'!B4:G29,MATCH(13,B4:B29,0),2)</f>
        <v>69</v>
      </c>
      <c r="E16" s="42">
        <f>INDEX('8oferty s.'!B4:G29,MATCH(13,B4:B29,0),3)</f>
        <v>51</v>
      </c>
      <c r="F16" s="6">
        <f>INDEX('8oferty s.'!B4:G29,MATCH(13,B4:B29,0),4)</f>
        <v>18</v>
      </c>
      <c r="G16" s="42">
        <f>INDEX('8oferty s.'!B4:G29,MATCH(13,B4:B29,0),5)</f>
        <v>47</v>
      </c>
      <c r="H16" s="6">
        <f>INDEX('8oferty s.'!B4:G29,MATCH(13,B4:B29,0),6)</f>
        <v>22</v>
      </c>
    </row>
    <row r="17" spans="2:8" x14ac:dyDescent="0.2">
      <c r="B17" s="6">
        <f>RANK('8oferty s.'!C17,'8oferty s.'!$C$4:'8oferty s.'!$C$29,1)+COUNTIF('8oferty s.'!$C$4:'8oferty s.'!C17,'8oferty s.'!C17)-1</f>
        <v>2</v>
      </c>
      <c r="C17" s="5" t="str">
        <f>INDEX('8oferty s.'!B4:G29,MATCH(14,B4:B29,0),1)</f>
        <v>stalowowolski</v>
      </c>
      <c r="D17" s="6">
        <f>INDEX('8oferty s.'!B4:G29,MATCH(14,B4:B29,0),2)</f>
        <v>82</v>
      </c>
      <c r="E17" s="42">
        <f>INDEX('8oferty s.'!B4:G29,MATCH(14,B4:B29,0),3)</f>
        <v>66</v>
      </c>
      <c r="F17" s="6">
        <f>INDEX('8oferty s.'!B4:G29,MATCH(14,B4:B29,0),4)</f>
        <v>16</v>
      </c>
      <c r="G17" s="42">
        <f>INDEX('8oferty s.'!B4:G29,MATCH(14,B4:B29,0),5)</f>
        <v>96</v>
      </c>
      <c r="H17" s="6">
        <f>INDEX('8oferty s.'!B4:G29,MATCH(14,B4:B29,0),6)</f>
        <v>-14</v>
      </c>
    </row>
    <row r="18" spans="2:8" x14ac:dyDescent="0.2">
      <c r="B18" s="6">
        <f>RANK('8oferty s.'!C18,'8oferty s.'!$C$4:'8oferty s.'!$C$29,1)+COUNTIF('8oferty s.'!$C$4:'8oferty s.'!C18,'8oferty s.'!C18)-1</f>
        <v>15</v>
      </c>
      <c r="C18" s="5" t="str">
        <f>INDEX('8oferty s.'!B4:G29,MATCH(15,B4:B29,0),1)</f>
        <v>przeworski</v>
      </c>
      <c r="D18" s="6">
        <f>INDEX('8oferty s.'!B4:G29,MATCH(15,B4:B29,0),2)</f>
        <v>83</v>
      </c>
      <c r="E18" s="42">
        <f>INDEX('8oferty s.'!B4:G29,MATCH(15,B4:B29,0),3)</f>
        <v>124</v>
      </c>
      <c r="F18" s="6">
        <f>INDEX('8oferty s.'!B4:G29,MATCH(15,B4:B29,0),4)</f>
        <v>-41</v>
      </c>
      <c r="G18" s="42">
        <f>INDEX('8oferty s.'!B4:G29,MATCH(15,B4:B29,0),5)</f>
        <v>126</v>
      </c>
      <c r="H18" s="6">
        <f>INDEX('8oferty s.'!B4:G29,MATCH(15,B4:B29,0),6)</f>
        <v>-43</v>
      </c>
    </row>
    <row r="19" spans="2:8" x14ac:dyDescent="0.2">
      <c r="B19" s="6">
        <f>RANK('8oferty s.'!C19,'8oferty s.'!$C$4:'8oferty s.'!$C$29,1)+COUNTIF('8oferty s.'!$C$4:'8oferty s.'!C19,'8oferty s.'!C19)-1</f>
        <v>8</v>
      </c>
      <c r="C19" s="5" t="str">
        <f>INDEX('8oferty s.'!B4:G29,MATCH(16,B4:B29,0),1)</f>
        <v>Rzeszów</v>
      </c>
      <c r="D19" s="6">
        <f>INDEX('8oferty s.'!B4:G29,MATCH(16,B4:B29,0),2)</f>
        <v>84</v>
      </c>
      <c r="E19" s="42">
        <f>INDEX('8oferty s.'!B4:G29,MATCH(16,B4:B29,0),3)</f>
        <v>176</v>
      </c>
      <c r="F19" s="6">
        <f>INDEX('8oferty s.'!B4:G29,MATCH(16,B4:B29,0),4)</f>
        <v>-92</v>
      </c>
      <c r="G19" s="42">
        <f>INDEX('8oferty s.'!B4:G29,MATCH(16,B4:B29,0),5)</f>
        <v>105</v>
      </c>
      <c r="H19" s="6">
        <f>INDEX('8oferty s.'!B4:G29,MATCH(16,B4:B29,0),6)</f>
        <v>-21</v>
      </c>
    </row>
    <row r="20" spans="2:8" x14ac:dyDescent="0.2">
      <c r="B20" s="6">
        <f>RANK('8oferty s.'!C20,'8oferty s.'!$C$4:'8oferty s.'!$C$29,1)+COUNTIF('8oferty s.'!$C$4:'8oferty s.'!C20,'8oferty s.'!C20)-1</f>
        <v>11</v>
      </c>
      <c r="C20" s="5" t="str">
        <f>INDEX('8oferty s.'!B4:G29,MATCH(17,B4:B29,0),1)</f>
        <v>jarosławski</v>
      </c>
      <c r="D20" s="6">
        <f>INDEX('8oferty s.'!B4:G29,MATCH(17,B4:B29,0),2)</f>
        <v>92</v>
      </c>
      <c r="E20" s="42">
        <f>INDEX('8oferty s.'!B4:G29,MATCH(17,B4:B29,0),3)</f>
        <v>322</v>
      </c>
      <c r="F20" s="6">
        <f>INDEX('8oferty s.'!B4:G29,MATCH(17,B4:B29,0),4)</f>
        <v>-230</v>
      </c>
      <c r="G20" s="42">
        <f>INDEX('8oferty s.'!B4:G29,MATCH(17,B4:B29,0),5)</f>
        <v>148</v>
      </c>
      <c r="H20" s="6">
        <f>INDEX('8oferty s.'!B4:G29,MATCH(17,B4:B29,0),6)</f>
        <v>-56</v>
      </c>
    </row>
    <row r="21" spans="2:8" x14ac:dyDescent="0.2">
      <c r="B21" s="6">
        <f>RANK('8oferty s.'!C21,'8oferty s.'!$C$4:'8oferty s.'!$C$29,1)+COUNTIF('8oferty s.'!$C$4:'8oferty s.'!C21,'8oferty s.'!C21)-1</f>
        <v>6</v>
      </c>
      <c r="C21" s="5" t="str">
        <f>INDEX('8oferty s.'!B4:G29,MATCH(18,B4:B29,0),1)</f>
        <v>łańcucki</v>
      </c>
      <c r="D21" s="6">
        <f>INDEX('8oferty s.'!B4:G29,MATCH(18,B4:B29,0),2)</f>
        <v>98</v>
      </c>
      <c r="E21" s="42">
        <f>INDEX('8oferty s.'!B4:G29,MATCH(18,B4:B29,0),3)</f>
        <v>89</v>
      </c>
      <c r="F21" s="6">
        <f>INDEX('8oferty s.'!B4:G29,MATCH(18,B4:B29,0),4)</f>
        <v>9</v>
      </c>
      <c r="G21" s="42">
        <f>INDEX('8oferty s.'!B4:G29,MATCH(18,B4:B29,0),5)</f>
        <v>73</v>
      </c>
      <c r="H21" s="6">
        <f>INDEX('8oferty s.'!B4:G29,MATCH(18,B4:B29,0),6)</f>
        <v>25</v>
      </c>
    </row>
    <row r="22" spans="2:8" x14ac:dyDescent="0.2">
      <c r="B22" s="6">
        <f>RANK('8oferty s.'!C22,'8oferty s.'!$C$4:'8oferty s.'!$C$29,1)+COUNTIF('8oferty s.'!$C$4:'8oferty s.'!C22,'8oferty s.'!C22)-1</f>
        <v>14</v>
      </c>
      <c r="C22" s="5" t="str">
        <f>INDEX('8oferty s.'!B4:G29,MATCH(19,B4:B29,0),1)</f>
        <v>strzyżowski</v>
      </c>
      <c r="D22" s="6">
        <f>INDEX('8oferty s.'!B4:G29,MATCH(19,B4:B29,0),2)</f>
        <v>98</v>
      </c>
      <c r="E22" s="42">
        <f>INDEX('8oferty s.'!B4:G29,MATCH(19,B4:B29,0),3)</f>
        <v>158</v>
      </c>
      <c r="F22" s="6">
        <f>INDEX('8oferty s.'!B4:G29,MATCH(19,B4:B29,0),4)</f>
        <v>-60</v>
      </c>
      <c r="G22" s="42">
        <f>INDEX('8oferty s.'!B4:G29,MATCH(19,B4:B29,0),5)</f>
        <v>109</v>
      </c>
      <c r="H22" s="6">
        <f>INDEX('8oferty s.'!B4:G29,MATCH(19,B4:B29,0),6)</f>
        <v>-11</v>
      </c>
    </row>
    <row r="23" spans="2:8" x14ac:dyDescent="0.2">
      <c r="B23" s="6">
        <f>RANK('8oferty s.'!C23,'8oferty s.'!$C$4:'8oferty s.'!$C$29,1)+COUNTIF('8oferty s.'!$C$4:'8oferty s.'!C23,'8oferty s.'!C23)-1</f>
        <v>19</v>
      </c>
      <c r="C23" s="5" t="str">
        <f>INDEX('8oferty s.'!B4:G29,MATCH(20,B4:B29,0),1)</f>
        <v>lubaczowski</v>
      </c>
      <c r="D23" s="6">
        <f>INDEX('8oferty s.'!B4:G29,MATCH(20,B4:B29,0),2)</f>
        <v>104</v>
      </c>
      <c r="E23" s="42">
        <f>INDEX('8oferty s.'!B4:G29,MATCH(20,B4:B29,0),3)</f>
        <v>81</v>
      </c>
      <c r="F23" s="6">
        <f>INDEX('8oferty s.'!B4:G29,MATCH(20,B4:B29,0),4)</f>
        <v>23</v>
      </c>
      <c r="G23" s="42">
        <f>INDEX('8oferty s.'!B4:G29,MATCH(20,B4:B29,0),5)</f>
        <v>84</v>
      </c>
      <c r="H23" s="6">
        <f>INDEX('8oferty s.'!B4:G29,MATCH(20,B4:B29,0),6)</f>
        <v>20</v>
      </c>
    </row>
    <row r="24" spans="2:8" x14ac:dyDescent="0.2">
      <c r="B24" s="6">
        <f>RANK('8oferty s.'!C24,'8oferty s.'!$C$4:'8oferty s.'!$C$29,1)+COUNTIF('8oferty s.'!$C$4:'8oferty s.'!C24,'8oferty s.'!C24)-1</f>
        <v>13</v>
      </c>
      <c r="C24" s="5" t="str">
        <f>INDEX('8oferty s.'!B4:G29,MATCH(21,B4:B29,0),1)</f>
        <v>jasielski</v>
      </c>
      <c r="D24" s="6">
        <f>INDEX('8oferty s.'!B4:G29,MATCH(21,B4:B29,0),2)</f>
        <v>111</v>
      </c>
      <c r="E24" s="42">
        <f>INDEX('8oferty s.'!B4:G29,MATCH(21,B4:B29,0),3)</f>
        <v>127</v>
      </c>
      <c r="F24" s="6">
        <f>INDEX('8oferty s.'!B4:G29,MATCH(21,B4:B29,0),4)</f>
        <v>-16</v>
      </c>
      <c r="G24" s="42">
        <f>INDEX('8oferty s.'!B4:G29,MATCH(21,B4:B29,0),5)</f>
        <v>137</v>
      </c>
      <c r="H24" s="6">
        <f>INDEX('8oferty s.'!B4:G29,MATCH(21,B4:B29,0),6)</f>
        <v>-26</v>
      </c>
    </row>
    <row r="25" spans="2:8" x14ac:dyDescent="0.2">
      <c r="B25" s="6">
        <f>RANK('8oferty s.'!C25,'8oferty s.'!$C$4:'8oferty s.'!$C$29,1)+COUNTIF('8oferty s.'!$C$4:'8oferty s.'!C25,'8oferty s.'!C25)-1</f>
        <v>7</v>
      </c>
      <c r="C25" s="5" t="str">
        <f>INDEX('8oferty s.'!B4:G29,MATCH(22,B4:B29,0),1)</f>
        <v>mielecki</v>
      </c>
      <c r="D25" s="6">
        <f>INDEX('8oferty s.'!B4:G29,MATCH(22,B4:B29,0),2)</f>
        <v>118</v>
      </c>
      <c r="E25" s="42">
        <f>INDEX('8oferty s.'!B4:G29,MATCH(22,B4:B29,0),3)</f>
        <v>125</v>
      </c>
      <c r="F25" s="6">
        <f>INDEX('8oferty s.'!B4:G29,MATCH(22,B4:B29,0),4)</f>
        <v>-7</v>
      </c>
      <c r="G25" s="42">
        <f>INDEX('8oferty s.'!B4:G29,MATCH(22,B4:B29,0),5)</f>
        <v>117</v>
      </c>
      <c r="H25" s="6">
        <f>INDEX('8oferty s.'!B4:G29,MATCH(22,B4:B29,0),6)</f>
        <v>1</v>
      </c>
    </row>
    <row r="26" spans="2:8" x14ac:dyDescent="0.2">
      <c r="B26" s="6">
        <f>RANK('8oferty s.'!C26,'8oferty s.'!$C$4:'8oferty s.'!$C$29,1)+COUNTIF('8oferty s.'!$C$4:'8oferty s.'!C26,'8oferty s.'!C26)-1</f>
        <v>10</v>
      </c>
      <c r="C26" s="5" t="str">
        <f>INDEX('8oferty s.'!B4:G29,MATCH(23,B4:B29,0),1)</f>
        <v>brzozowski</v>
      </c>
      <c r="D26" s="6">
        <f>INDEX('8oferty s.'!B4:G29,MATCH(23,B4:B29,0),2)</f>
        <v>152</v>
      </c>
      <c r="E26" s="42">
        <f>INDEX('8oferty s.'!B4:G29,MATCH(23,B4:B29,0),3)</f>
        <v>50</v>
      </c>
      <c r="F26" s="6">
        <f>INDEX('8oferty s.'!B4:G29,MATCH(23,B4:B29,0),4)</f>
        <v>102</v>
      </c>
      <c r="G26" s="42">
        <f>INDEX('8oferty s.'!B4:G29,MATCH(23,B4:B29,0),5)</f>
        <v>122</v>
      </c>
      <c r="H26" s="6">
        <f>INDEX('8oferty s.'!B4:G29,MATCH(23,B4:B29,0),6)</f>
        <v>30</v>
      </c>
    </row>
    <row r="27" spans="2:8" x14ac:dyDescent="0.2">
      <c r="B27" s="6">
        <f>RANK('8oferty s.'!C27,'8oferty s.'!$C$4:'8oferty s.'!$C$29,1)+COUNTIF('8oferty s.'!$C$4:'8oferty s.'!C27,'8oferty s.'!C27)-1</f>
        <v>16</v>
      </c>
      <c r="C27" s="5" t="str">
        <f>INDEX('8oferty s.'!B4:G29,MATCH(24,B4:B29,0),1)</f>
        <v>leżajski</v>
      </c>
      <c r="D27" s="6">
        <f>INDEX('8oferty s.'!B4:G29,MATCH(24,B4:B29,0),2)</f>
        <v>166</v>
      </c>
      <c r="E27" s="42">
        <f>INDEX('8oferty s.'!B4:G29,MATCH(24,B4:B29,0),3)</f>
        <v>132</v>
      </c>
      <c r="F27" s="6">
        <f>INDEX('8oferty s.'!B4:G29,MATCH(24,B4:B29,0),4)</f>
        <v>34</v>
      </c>
      <c r="G27" s="42">
        <f>INDEX('8oferty s.'!B4:G29,MATCH(24,B4:B29,0),5)</f>
        <v>98</v>
      </c>
      <c r="H27" s="6">
        <f>INDEX('8oferty s.'!B4:G29,MATCH(24,B4:B29,0),6)</f>
        <v>68</v>
      </c>
    </row>
    <row r="28" spans="2:8" x14ac:dyDescent="0.2">
      <c r="B28" s="6">
        <f>RANK('8oferty s.'!C28,'8oferty s.'!$C$4:'8oferty s.'!$C$29,1)+COUNTIF('8oferty s.'!$C$4:'8oferty s.'!C28,'8oferty s.'!C28)-1</f>
        <v>9</v>
      </c>
      <c r="C28" s="5" t="str">
        <f>INDEX('8oferty s.'!B4:G29,MATCH(25,B4:B29,0),1)</f>
        <v>niżański</v>
      </c>
      <c r="D28" s="6">
        <f>INDEX('8oferty s.'!B4:G29,MATCH(25,B4:B29,0),2)</f>
        <v>187</v>
      </c>
      <c r="E28" s="42">
        <f>INDEX('8oferty s.'!B4:G29,MATCH(25,B4:B29,0),3)</f>
        <v>71</v>
      </c>
      <c r="F28" s="6">
        <f>INDEX('8oferty s.'!B4:G29,MATCH(25,B4:B29,0),4)</f>
        <v>116</v>
      </c>
      <c r="G28" s="42">
        <f>INDEX('8oferty s.'!B4:G29,MATCH(25,B4:B29,0),5)</f>
        <v>107</v>
      </c>
      <c r="H28" s="6">
        <f>INDEX('8oferty s.'!B4:G29,MATCH(25,B4:B29,0),6)</f>
        <v>80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2049</v>
      </c>
      <c r="E29" s="44">
        <f>INDEX('8oferty s.'!B4:G29,MATCH(26,B4:B29,0),3)</f>
        <v>2344</v>
      </c>
      <c r="F29" s="40">
        <f>INDEX('8oferty s.'!B4:G29,MATCH(26,B4:B29,0),4)</f>
        <v>-295</v>
      </c>
      <c r="G29" s="44">
        <f>INDEX('8oferty s.'!B4:G29,MATCH(26,B4:B29,0),5)</f>
        <v>1966</v>
      </c>
      <c r="H29" s="40">
        <f>INDEX('8oferty s.'!B4:G29,MATCH(26,B4:B29,0),6)</f>
        <v>83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62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63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94</v>
      </c>
      <c r="D3" s="38" t="s">
        <v>73</v>
      </c>
      <c r="E3" s="37" t="s">
        <v>28</v>
      </c>
      <c r="F3" s="38" t="s">
        <v>95</v>
      </c>
      <c r="G3" s="37" t="s">
        <v>26</v>
      </c>
    </row>
    <row r="4" spans="2:11" x14ac:dyDescent="0.2">
      <c r="B4" s="5" t="s">
        <v>0</v>
      </c>
      <c r="C4" s="28">
        <v>20</v>
      </c>
      <c r="D4" s="42">
        <v>27</v>
      </c>
      <c r="E4" s="28">
        <f t="shared" ref="E4:E28" si="0">SUM(C4)-D4</f>
        <v>-7</v>
      </c>
      <c r="F4" s="42">
        <v>14</v>
      </c>
      <c r="G4" s="28">
        <f t="shared" ref="G4:G28" si="1">SUM(C4)-F4</f>
        <v>6</v>
      </c>
      <c r="H4" s="7"/>
    </row>
    <row r="5" spans="2:11" x14ac:dyDescent="0.2">
      <c r="B5" s="5" t="s">
        <v>1</v>
      </c>
      <c r="C5" s="28">
        <v>3</v>
      </c>
      <c r="D5" s="42">
        <v>6</v>
      </c>
      <c r="E5" s="28">
        <f t="shared" si="0"/>
        <v>-3</v>
      </c>
      <c r="F5" s="42">
        <v>5</v>
      </c>
      <c r="G5" s="28">
        <f t="shared" si="1"/>
        <v>-2</v>
      </c>
      <c r="H5" s="7"/>
    </row>
    <row r="6" spans="2:11" x14ac:dyDescent="0.2">
      <c r="B6" s="5" t="s">
        <v>2</v>
      </c>
      <c r="C6" s="28">
        <v>188</v>
      </c>
      <c r="D6" s="42">
        <v>164</v>
      </c>
      <c r="E6" s="28">
        <f t="shared" si="0"/>
        <v>24</v>
      </c>
      <c r="F6" s="42">
        <v>121</v>
      </c>
      <c r="G6" s="28">
        <f t="shared" si="1"/>
        <v>67</v>
      </c>
      <c r="H6" s="7"/>
    </row>
    <row r="7" spans="2:11" x14ac:dyDescent="0.2">
      <c r="B7" s="5" t="s">
        <v>3</v>
      </c>
      <c r="C7" s="28">
        <v>62</v>
      </c>
      <c r="D7" s="42">
        <v>185</v>
      </c>
      <c r="E7" s="28">
        <f t="shared" si="0"/>
        <v>-123</v>
      </c>
      <c r="F7" s="42">
        <v>111</v>
      </c>
      <c r="G7" s="28">
        <f t="shared" si="1"/>
        <v>-49</v>
      </c>
      <c r="H7" s="7"/>
    </row>
    <row r="8" spans="2:11" x14ac:dyDescent="0.2">
      <c r="B8" s="5" t="s">
        <v>4</v>
      </c>
      <c r="C8" s="28">
        <v>145</v>
      </c>
      <c r="D8" s="42">
        <v>177</v>
      </c>
      <c r="E8" s="28">
        <f t="shared" si="0"/>
        <v>-32</v>
      </c>
      <c r="F8" s="42">
        <v>53</v>
      </c>
      <c r="G8" s="28">
        <f t="shared" si="1"/>
        <v>92</v>
      </c>
      <c r="H8" s="7"/>
    </row>
    <row r="9" spans="2:11" x14ac:dyDescent="0.2">
      <c r="B9" s="5" t="s">
        <v>5</v>
      </c>
      <c r="C9" s="28">
        <v>73</v>
      </c>
      <c r="D9" s="42">
        <v>47</v>
      </c>
      <c r="E9" s="28">
        <f t="shared" si="0"/>
        <v>26</v>
      </c>
      <c r="F9" s="42">
        <v>87</v>
      </c>
      <c r="G9" s="28">
        <f t="shared" si="1"/>
        <v>-14</v>
      </c>
      <c r="H9" s="7"/>
    </row>
    <row r="10" spans="2:11" x14ac:dyDescent="0.2">
      <c r="B10" s="9" t="s">
        <v>6</v>
      </c>
      <c r="C10" s="28">
        <v>21</v>
      </c>
      <c r="D10" s="42">
        <v>44</v>
      </c>
      <c r="E10" s="28">
        <f t="shared" si="0"/>
        <v>-23</v>
      </c>
      <c r="F10" s="42">
        <v>75</v>
      </c>
      <c r="G10" s="28">
        <f t="shared" si="1"/>
        <v>-54</v>
      </c>
      <c r="H10" s="7"/>
    </row>
    <row r="11" spans="2:11" x14ac:dyDescent="0.2">
      <c r="B11" s="5" t="s">
        <v>7</v>
      </c>
      <c r="C11" s="28">
        <v>45</v>
      </c>
      <c r="D11" s="42">
        <v>29</v>
      </c>
      <c r="E11" s="28">
        <f t="shared" si="0"/>
        <v>16</v>
      </c>
      <c r="F11" s="42">
        <v>26</v>
      </c>
      <c r="G11" s="28">
        <f t="shared" si="1"/>
        <v>19</v>
      </c>
      <c r="H11" s="7"/>
    </row>
    <row r="12" spans="2:11" x14ac:dyDescent="0.2">
      <c r="B12" s="5" t="s">
        <v>8</v>
      </c>
      <c r="C12" s="28">
        <v>131</v>
      </c>
      <c r="D12" s="42">
        <v>172</v>
      </c>
      <c r="E12" s="28">
        <f t="shared" si="0"/>
        <v>-41</v>
      </c>
      <c r="F12" s="42">
        <v>46</v>
      </c>
      <c r="G12" s="28">
        <f t="shared" si="1"/>
        <v>85</v>
      </c>
      <c r="H12" s="7"/>
    </row>
    <row r="13" spans="2:11" x14ac:dyDescent="0.2">
      <c r="B13" s="5" t="s">
        <v>9</v>
      </c>
      <c r="C13" s="28">
        <v>66</v>
      </c>
      <c r="D13" s="42">
        <v>45</v>
      </c>
      <c r="E13" s="28">
        <f t="shared" si="0"/>
        <v>21</v>
      </c>
      <c r="F13" s="42">
        <v>76</v>
      </c>
      <c r="G13" s="28">
        <f t="shared" si="1"/>
        <v>-10</v>
      </c>
      <c r="H13" s="7"/>
    </row>
    <row r="14" spans="2:11" x14ac:dyDescent="0.2">
      <c r="B14" s="5" t="s">
        <v>10</v>
      </c>
      <c r="C14" s="28">
        <v>40</v>
      </c>
      <c r="D14" s="42">
        <v>37</v>
      </c>
      <c r="E14" s="28">
        <f t="shared" si="0"/>
        <v>3</v>
      </c>
      <c r="F14" s="42">
        <v>38</v>
      </c>
      <c r="G14" s="28">
        <f t="shared" si="1"/>
        <v>2</v>
      </c>
      <c r="H14" s="7"/>
    </row>
    <row r="15" spans="2:11" x14ac:dyDescent="0.2">
      <c r="B15" s="5" t="s">
        <v>11</v>
      </c>
      <c r="C15" s="28">
        <v>261</v>
      </c>
      <c r="D15" s="42">
        <v>272</v>
      </c>
      <c r="E15" s="28">
        <f t="shared" si="0"/>
        <v>-11</v>
      </c>
      <c r="F15" s="42">
        <v>261</v>
      </c>
      <c r="G15" s="28">
        <f t="shared" si="1"/>
        <v>0</v>
      </c>
      <c r="H15" s="7"/>
    </row>
    <row r="16" spans="2:11" x14ac:dyDescent="0.2">
      <c r="B16" s="5" t="s">
        <v>12</v>
      </c>
      <c r="C16" s="28">
        <v>86</v>
      </c>
      <c r="D16" s="42">
        <v>56</v>
      </c>
      <c r="E16" s="28">
        <f t="shared" si="0"/>
        <v>30</v>
      </c>
      <c r="F16" s="42">
        <v>67</v>
      </c>
      <c r="G16" s="28">
        <f t="shared" si="1"/>
        <v>19</v>
      </c>
      <c r="H16" s="7"/>
    </row>
    <row r="17" spans="2:8" x14ac:dyDescent="0.2">
      <c r="B17" s="5" t="s">
        <v>13</v>
      </c>
      <c r="C17" s="28">
        <v>12</v>
      </c>
      <c r="D17" s="42">
        <v>19</v>
      </c>
      <c r="E17" s="28">
        <f t="shared" si="0"/>
        <v>-7</v>
      </c>
      <c r="F17" s="42">
        <v>19</v>
      </c>
      <c r="G17" s="28">
        <f t="shared" si="1"/>
        <v>-7</v>
      </c>
      <c r="H17" s="7"/>
    </row>
    <row r="18" spans="2:8" x14ac:dyDescent="0.2">
      <c r="B18" s="5" t="s">
        <v>14</v>
      </c>
      <c r="C18" s="28">
        <v>157</v>
      </c>
      <c r="D18" s="42">
        <v>111</v>
      </c>
      <c r="E18" s="28">
        <f t="shared" si="0"/>
        <v>46</v>
      </c>
      <c r="F18" s="42">
        <v>157</v>
      </c>
      <c r="G18" s="28">
        <f t="shared" si="1"/>
        <v>0</v>
      </c>
      <c r="H18" s="7"/>
    </row>
    <row r="19" spans="2:8" x14ac:dyDescent="0.2">
      <c r="B19" s="5" t="s">
        <v>15</v>
      </c>
      <c r="C19" s="28">
        <v>37</v>
      </c>
      <c r="D19" s="42">
        <v>40</v>
      </c>
      <c r="E19" s="28">
        <f t="shared" si="0"/>
        <v>-3</v>
      </c>
      <c r="F19" s="42">
        <v>47</v>
      </c>
      <c r="G19" s="28">
        <f t="shared" si="1"/>
        <v>-10</v>
      </c>
      <c r="H19" s="7"/>
    </row>
    <row r="20" spans="2:8" x14ac:dyDescent="0.2">
      <c r="B20" s="5" t="s">
        <v>16</v>
      </c>
      <c r="C20" s="28">
        <v>50</v>
      </c>
      <c r="D20" s="42">
        <v>50</v>
      </c>
      <c r="E20" s="28">
        <f t="shared" si="0"/>
        <v>0</v>
      </c>
      <c r="F20" s="42">
        <v>86</v>
      </c>
      <c r="G20" s="28">
        <f t="shared" si="1"/>
        <v>-36</v>
      </c>
      <c r="H20" s="7"/>
    </row>
    <row r="21" spans="2:8" x14ac:dyDescent="0.2">
      <c r="B21" s="5" t="s">
        <v>17</v>
      </c>
      <c r="C21" s="28">
        <v>31</v>
      </c>
      <c r="D21" s="42">
        <v>29</v>
      </c>
      <c r="E21" s="28">
        <f t="shared" si="0"/>
        <v>2</v>
      </c>
      <c r="F21" s="42">
        <v>28</v>
      </c>
      <c r="G21" s="28">
        <f t="shared" si="1"/>
        <v>3</v>
      </c>
      <c r="H21" s="7"/>
    </row>
    <row r="22" spans="2:8" x14ac:dyDescent="0.2">
      <c r="B22" s="5" t="s">
        <v>18</v>
      </c>
      <c r="C22" s="28">
        <v>89</v>
      </c>
      <c r="D22" s="42">
        <v>52</v>
      </c>
      <c r="E22" s="28">
        <f t="shared" si="0"/>
        <v>37</v>
      </c>
      <c r="F22" s="42">
        <v>60</v>
      </c>
      <c r="G22" s="28">
        <f t="shared" si="1"/>
        <v>29</v>
      </c>
      <c r="H22" s="7"/>
    </row>
    <row r="23" spans="2:8" x14ac:dyDescent="0.2">
      <c r="B23" s="5" t="s">
        <v>19</v>
      </c>
      <c r="C23" s="28">
        <v>54</v>
      </c>
      <c r="D23" s="42">
        <v>95</v>
      </c>
      <c r="E23" s="28">
        <f t="shared" si="0"/>
        <v>-41</v>
      </c>
      <c r="F23" s="42">
        <v>78</v>
      </c>
      <c r="G23" s="28">
        <f t="shared" si="1"/>
        <v>-24</v>
      </c>
      <c r="H23" s="7"/>
    </row>
    <row r="24" spans="2:8" x14ac:dyDescent="0.2">
      <c r="B24" s="5" t="s">
        <v>20</v>
      </c>
      <c r="C24" s="28">
        <v>27</v>
      </c>
      <c r="D24" s="42">
        <v>34</v>
      </c>
      <c r="E24" s="28">
        <f t="shared" si="0"/>
        <v>-7</v>
      </c>
      <c r="F24" s="42">
        <v>55</v>
      </c>
      <c r="G24" s="28">
        <f t="shared" si="1"/>
        <v>-28</v>
      </c>
      <c r="H24" s="7"/>
    </row>
    <row r="25" spans="2:8" x14ac:dyDescent="0.2">
      <c r="B25" s="5" t="s">
        <v>21</v>
      </c>
      <c r="C25" s="28">
        <v>63</v>
      </c>
      <c r="D25" s="42">
        <v>43</v>
      </c>
      <c r="E25" s="28">
        <f t="shared" si="0"/>
        <v>20</v>
      </c>
      <c r="F25" s="42">
        <v>17</v>
      </c>
      <c r="G25" s="28">
        <f t="shared" si="1"/>
        <v>46</v>
      </c>
      <c r="H25" s="7"/>
    </row>
    <row r="26" spans="2:8" x14ac:dyDescent="0.2">
      <c r="B26" s="5" t="s">
        <v>22</v>
      </c>
      <c r="C26" s="28">
        <v>34</v>
      </c>
      <c r="D26" s="42">
        <v>33</v>
      </c>
      <c r="E26" s="28">
        <f t="shared" si="0"/>
        <v>1</v>
      </c>
      <c r="F26" s="42">
        <v>38</v>
      </c>
      <c r="G26" s="28">
        <f t="shared" si="1"/>
        <v>-4</v>
      </c>
      <c r="H26" s="7"/>
    </row>
    <row r="27" spans="2:8" x14ac:dyDescent="0.2">
      <c r="B27" s="5" t="s">
        <v>23</v>
      </c>
      <c r="C27" s="28">
        <v>261</v>
      </c>
      <c r="D27" s="42">
        <v>223</v>
      </c>
      <c r="E27" s="28">
        <f t="shared" si="0"/>
        <v>38</v>
      </c>
      <c r="F27" s="42">
        <v>189</v>
      </c>
      <c r="G27" s="28">
        <f t="shared" si="1"/>
        <v>72</v>
      </c>
      <c r="H27" s="7"/>
    </row>
    <row r="28" spans="2:8" x14ac:dyDescent="0.2">
      <c r="B28" s="5" t="s">
        <v>24</v>
      </c>
      <c r="C28" s="28">
        <v>46</v>
      </c>
      <c r="D28" s="42">
        <v>48</v>
      </c>
      <c r="E28" s="28">
        <f t="shared" si="0"/>
        <v>-2</v>
      </c>
      <c r="F28" s="42">
        <v>31</v>
      </c>
      <c r="G28" s="28">
        <f t="shared" si="1"/>
        <v>15</v>
      </c>
      <c r="H28" s="7"/>
    </row>
    <row r="29" spans="2:8" ht="15" x14ac:dyDescent="0.25">
      <c r="B29" s="39" t="s">
        <v>25</v>
      </c>
      <c r="C29" s="48">
        <f>SUM(C4:C28)</f>
        <v>2002</v>
      </c>
      <c r="D29" s="44">
        <f>SUM(D4:D28)</f>
        <v>2038</v>
      </c>
      <c r="E29" s="48">
        <f>SUM(E4:E28)</f>
        <v>-36</v>
      </c>
      <c r="F29" s="44">
        <f>SUM(F4:F28)</f>
        <v>1785</v>
      </c>
      <c r="G29" s="48">
        <f>SUM(G4:G28)</f>
        <v>217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3" style="3" customWidth="1"/>
    <col min="5" max="5" width="12.71093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03-'25 r.</v>
      </c>
      <c r="E3" s="36" t="str">
        <f>T('8oferty s.'!D3)</f>
        <v>liczba ofert w 02-'25 r.</v>
      </c>
      <c r="F3" s="36" t="str">
        <f>T('8oferty s.'!E3)</f>
        <v>wzrost/spadek do poprzedniego  miesiąca</v>
      </c>
      <c r="G3" s="36" t="str">
        <f>T('8oferty s.'!F3)</f>
        <v>liczba ofert w 03-'24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3</v>
      </c>
      <c r="E4" s="42">
        <f>INDEX('9of st. k.'!B4:G29,MATCH(1,B4:B29,0),3)</f>
        <v>6</v>
      </c>
      <c r="F4" s="6">
        <f>INDEX('9of st. k.'!B4:G29,MATCH(1,B4:B29,0),4)</f>
        <v>-3</v>
      </c>
      <c r="G4" s="42">
        <f>INDEX('9of st. k.'!B4:G29,MATCH(1,B4:B29,0),5)</f>
        <v>5</v>
      </c>
      <c r="H4" s="6">
        <f>INDEX('9of st. k.'!B4:G29,MATCH(1,B4:B29,0),6)</f>
        <v>-2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12</v>
      </c>
      <c r="E5" s="42">
        <f>INDEX('9of st. k.'!B4:G29,MATCH(2,B4:B29,0),3)</f>
        <v>19</v>
      </c>
      <c r="F5" s="6">
        <f>INDEX('9of st. k.'!B4:G29,MATCH(2,B4:B29,0),4)</f>
        <v>-7</v>
      </c>
      <c r="G5" s="42">
        <f>INDEX('9of st. k.'!B4:G29,MATCH(2,B4:B29,0),5)</f>
        <v>19</v>
      </c>
      <c r="H5" s="6">
        <f>INDEX('9of st. k.'!B4:G29,MATCH(2,B4:B29,0),6)</f>
        <v>-7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bieszczadzki</v>
      </c>
      <c r="D6" s="6">
        <f>INDEX('9of st. k.'!B4:G29,MATCH(3,B4:B29,0),2)</f>
        <v>20</v>
      </c>
      <c r="E6" s="42">
        <f>INDEX('9of st. k.'!B4:G29,MATCH(3,B4:B29,0),3)</f>
        <v>27</v>
      </c>
      <c r="F6" s="6">
        <f>INDEX('9of st. k.'!B4:G29,MATCH(3,B4:B29,0),4)</f>
        <v>-7</v>
      </c>
      <c r="G6" s="42">
        <f>INDEX('9of st. k.'!B4:G29,MATCH(3,B4:B29,0),5)</f>
        <v>14</v>
      </c>
      <c r="H6" s="6">
        <f>INDEX('9of st. k.'!B4:G29,MATCH(3,B4:B29,0),6)</f>
        <v>6</v>
      </c>
    </row>
    <row r="7" spans="2:8" x14ac:dyDescent="0.2">
      <c r="B7" s="6">
        <f>RANK('9of st. k.'!C7,'9of st. k.'!$C$4:'9of st. k.'!$C$29,1)+COUNTIF('9of st. k.'!$C$4:'9of st. k.'!C7,'9of st. k.'!C7)-1</f>
        <v>14</v>
      </c>
      <c r="C7" s="5" t="str">
        <f>INDEX('9of st. k.'!B4:G29,MATCH(4,B4:B29,0),1)</f>
        <v>krośnieński</v>
      </c>
      <c r="D7" s="6">
        <f>INDEX('9of st. k.'!B4:G29,MATCH(4,B4:B29,0),2)</f>
        <v>21</v>
      </c>
      <c r="E7" s="42">
        <f>INDEX('9of st. k.'!B4:G29,MATCH(4,B4:B29,0),3)</f>
        <v>44</v>
      </c>
      <c r="F7" s="6">
        <f>INDEX('9of st. k.'!B4:G29,MATCH(4,B4:B29,0),4)</f>
        <v>-23</v>
      </c>
      <c r="G7" s="42">
        <f>INDEX('9of st. k.'!B4:G29,MATCH(4,B4:B29,0),5)</f>
        <v>75</v>
      </c>
      <c r="H7" s="6">
        <f>INDEX('9of st. k.'!B4:G29,MATCH(4,B4:B29,0),6)</f>
        <v>-54</v>
      </c>
    </row>
    <row r="8" spans="2:8" x14ac:dyDescent="0.2">
      <c r="B8" s="6">
        <f>RANK('9of st. k.'!C8,'9of st. k.'!$C$4:'9of st. k.'!$C$29,1)+COUNTIF('9of st. k.'!$C$4:'9of st. k.'!C8,'9of st. k.'!C8)-1</f>
        <v>21</v>
      </c>
      <c r="C8" s="5" t="str">
        <f>INDEX('9of st. k.'!B4:G29,MATCH(5,B4:B29,0),1)</f>
        <v xml:space="preserve">tarnobrzeski </v>
      </c>
      <c r="D8" s="6">
        <f>INDEX('9of st. k.'!B4:G29,MATCH(5,B4:B29,0),2)</f>
        <v>27</v>
      </c>
      <c r="E8" s="42">
        <f>INDEX('9of st. k.'!B4:G29,MATCH(5,B4:B29,0),3)</f>
        <v>34</v>
      </c>
      <c r="F8" s="6">
        <f>INDEX('9of st. k.'!B4:G29,MATCH(5,B4:B29,0),4)</f>
        <v>-7</v>
      </c>
      <c r="G8" s="42">
        <f>INDEX('9of st. k.'!B4:G29,MATCH(5,B4:B29,0),5)</f>
        <v>55</v>
      </c>
      <c r="H8" s="6">
        <f>INDEX('9of st. k.'!B4:G29,MATCH(5,B4:B29,0),6)</f>
        <v>-28</v>
      </c>
    </row>
    <row r="9" spans="2:8" x14ac:dyDescent="0.2">
      <c r="B9" s="6">
        <f>RANK('9of st. k.'!C9,'9of st. k.'!$C$4:'9of st. k.'!$C$29,1)+COUNTIF('9of st. k.'!$C$4:'9of st. k.'!C9,'9of st. k.'!C9)-1</f>
        <v>17</v>
      </c>
      <c r="C9" s="5" t="str">
        <f>INDEX('9of st. k.'!B4:G29,MATCH(6,B4:B29,0),1)</f>
        <v>sanocki</v>
      </c>
      <c r="D9" s="6">
        <f>INDEX('9of st. k.'!B4:G29,MATCH(6,B4:B29,0),2)</f>
        <v>31</v>
      </c>
      <c r="E9" s="42">
        <f>INDEX('9of st. k.'!B4:G29,MATCH(6,B4:B29,0),3)</f>
        <v>29</v>
      </c>
      <c r="F9" s="6">
        <f>INDEX('9of st. k.'!B4:G29,MATCH(6,B4:B29,0),4)</f>
        <v>2</v>
      </c>
      <c r="G9" s="42">
        <f>INDEX('9of st. k.'!B4:G29,MATCH(6,B4:B29,0),5)</f>
        <v>28</v>
      </c>
      <c r="H9" s="6">
        <f>INDEX('9of st. k.'!B4:G29,MATCH(6,B4:B29,0),6)</f>
        <v>3</v>
      </c>
    </row>
    <row r="10" spans="2:8" x14ac:dyDescent="0.2">
      <c r="B10" s="6">
        <f>RANK('9of st. k.'!C10,'9of st. k.'!$C$4:'9of st. k.'!$C$29,1)+COUNTIF('9of st. k.'!$C$4:'9of st. k.'!C10,'9of st. k.'!C10)-1</f>
        <v>4</v>
      </c>
      <c r="C10" s="9" t="str">
        <f>INDEX('9of st. k.'!B4:G29,MATCH(7,B4:B29,0),1)</f>
        <v>Przemyśl</v>
      </c>
      <c r="D10" s="6">
        <f>INDEX('9of st. k.'!B4:G29,MATCH(7,B4:B29,0),2)</f>
        <v>34</v>
      </c>
      <c r="E10" s="42">
        <f>INDEX('9of st. k.'!B4:G29,MATCH(7,B4:B29,0),3)</f>
        <v>33</v>
      </c>
      <c r="F10" s="6">
        <f>INDEX('9of st. k.'!B4:G29,MATCH(7,B4:B29,0),4)</f>
        <v>1</v>
      </c>
      <c r="G10" s="42">
        <f>INDEX('9of st. k.'!B4:G29,MATCH(7,B4:B29,0),5)</f>
        <v>38</v>
      </c>
      <c r="H10" s="6">
        <f>INDEX('9of st. k.'!B4:G29,MATCH(7,B4:B29,0),6)</f>
        <v>-4</v>
      </c>
    </row>
    <row r="11" spans="2:8" x14ac:dyDescent="0.2">
      <c r="B11" s="6">
        <f>RANK('9of st. k.'!C11,'9of st. k.'!$C$4:'9of st. k.'!$C$29,1)+COUNTIF('9of st. k.'!$C$4:'9of st. k.'!C11,'9of st. k.'!C11)-1</f>
        <v>10</v>
      </c>
      <c r="C11" s="5" t="str">
        <f>INDEX('9of st. k.'!B4:G29,MATCH(8,B4:B29,0),1)</f>
        <v>ropczycko-sędziszowski</v>
      </c>
      <c r="D11" s="6">
        <f>INDEX('9of st. k.'!B4:G29,MATCH(8,B4:B29,0),2)</f>
        <v>37</v>
      </c>
      <c r="E11" s="42">
        <f>INDEX('9of st. k.'!B4:G29,MATCH(8,B4:B29,0),3)</f>
        <v>40</v>
      </c>
      <c r="F11" s="6">
        <f>INDEX('9of st. k.'!B4:G29,MATCH(8,B4:B29,0),4)</f>
        <v>-3</v>
      </c>
      <c r="G11" s="42">
        <f>INDEX('9of st. k.'!B4:G29,MATCH(8,B4:B29,0),5)</f>
        <v>47</v>
      </c>
      <c r="H11" s="6">
        <f>INDEX('9of st. k.'!B4:G29,MATCH(8,B4:B29,0),6)</f>
        <v>-10</v>
      </c>
    </row>
    <row r="12" spans="2:8" x14ac:dyDescent="0.2">
      <c r="B12" s="6">
        <f>RANK('9of st. k.'!C12,'9of st. k.'!$C$4:'9of st. k.'!$C$29,1)+COUNTIF('9of st. k.'!$C$4:'9of st. k.'!C12,'9of st. k.'!C12)-1</f>
        <v>20</v>
      </c>
      <c r="C12" s="5" t="str">
        <f>INDEX('9of st. k.'!B4:G29,MATCH(9,B4:B29,0),1)</f>
        <v>łańcucki</v>
      </c>
      <c r="D12" s="6">
        <f>INDEX('9of st. k.'!B4:G29,MATCH(9,B4:B29,0),2)</f>
        <v>40</v>
      </c>
      <c r="E12" s="42">
        <f>INDEX('9of st. k.'!B4:G29,MATCH(9,B4:B29,0),3)</f>
        <v>37</v>
      </c>
      <c r="F12" s="6">
        <f>INDEX('9of st. k.'!B4:G29,MATCH(9,B4:B29,0),4)</f>
        <v>3</v>
      </c>
      <c r="G12" s="42">
        <f>INDEX('9of st. k.'!B4:G29,MATCH(9,B4:B29,0),5)</f>
        <v>38</v>
      </c>
      <c r="H12" s="6">
        <f>INDEX('9of st. k.'!B4:G29,MATCH(9,B4:B29,0),6)</f>
        <v>2</v>
      </c>
    </row>
    <row r="13" spans="2:8" x14ac:dyDescent="0.2">
      <c r="B13" s="6">
        <f>RANK('9of st. k.'!C13,'9of st. k.'!$C$4:'9of st. k.'!$C$29,1)+COUNTIF('9of st. k.'!$C$4:'9of st. k.'!C13,'9of st. k.'!C13)-1</f>
        <v>16</v>
      </c>
      <c r="C13" s="5" t="str">
        <f>INDEX('9of st. k.'!B4:G29,MATCH(10,B4:B29,0),1)</f>
        <v>leski</v>
      </c>
      <c r="D13" s="6">
        <f>INDEX('9of st. k.'!B4:G29,MATCH(10,B4:B29,0),2)</f>
        <v>45</v>
      </c>
      <c r="E13" s="42">
        <f>INDEX('9of st. k.'!B4:G29,MATCH(10,B4:B29,0),3)</f>
        <v>29</v>
      </c>
      <c r="F13" s="6">
        <f>INDEX('9of st. k.'!B4:G29,MATCH(10,B4:B29,0),4)</f>
        <v>16</v>
      </c>
      <c r="G13" s="42">
        <f>INDEX('9of st. k.'!B4:G29,MATCH(10,B4:B29,0),5)</f>
        <v>26</v>
      </c>
      <c r="H13" s="6">
        <f>INDEX('9of st. k.'!B4:G29,MATCH(10,B4:B29,0),6)</f>
        <v>19</v>
      </c>
    </row>
    <row r="14" spans="2:8" x14ac:dyDescent="0.2">
      <c r="B14" s="6">
        <f>RANK('9of st. k.'!C14,'9of st. k.'!$C$4:'9of st. k.'!$C$29,1)+COUNTIF('9of st. k.'!$C$4:'9of st. k.'!C14,'9of st. k.'!C14)-1</f>
        <v>9</v>
      </c>
      <c r="C14" s="5" t="str">
        <f>INDEX('9of st. k.'!B4:G29,MATCH(11,B4:B29,0),1)</f>
        <v>Tarnobrzeg</v>
      </c>
      <c r="D14" s="6">
        <f>INDEX('9of st. k.'!B4:G29,MATCH(11,B4:B29,0),2)</f>
        <v>46</v>
      </c>
      <c r="E14" s="42">
        <f>INDEX('9of st. k.'!B4:G29,MATCH(11,B4:B29,0),3)</f>
        <v>48</v>
      </c>
      <c r="F14" s="6">
        <f>INDEX('9of st. k.'!B4:G29,MATCH(11,B4:B29,0),4)</f>
        <v>-2</v>
      </c>
      <c r="G14" s="42">
        <f>INDEX('9of st. k.'!B4:G29,MATCH(11,B4:B29,0),5)</f>
        <v>31</v>
      </c>
      <c r="H14" s="6">
        <f>INDEX('9of st. k.'!B4:G29,MATCH(11,B4:B29,0),6)</f>
        <v>15</v>
      </c>
    </row>
    <row r="15" spans="2:8" x14ac:dyDescent="0.2">
      <c r="B15" s="6">
        <f>RANK('9of st. k.'!C15,'9of st. k.'!$C$4:'9of st. k.'!$C$29,1)+COUNTIF('9of st. k.'!$C$4:'9of st. k.'!C15,'9of st. k.'!C15)-1</f>
        <v>24</v>
      </c>
      <c r="C15" s="5" t="str">
        <f>INDEX('9of st. k.'!B4:G29,MATCH(12,B4:B29,0),1)</f>
        <v>rzeszowski</v>
      </c>
      <c r="D15" s="6">
        <f>INDEX('9of st. k.'!B4:G29,MATCH(12,B4:B29,0),2)</f>
        <v>50</v>
      </c>
      <c r="E15" s="42">
        <f>INDEX('9of st. k.'!B4:G29,MATCH(12,B4:B29,0),3)</f>
        <v>50</v>
      </c>
      <c r="F15" s="6">
        <f>INDEX('9of st. k.'!B4:G29,MATCH(12,B4:B29,0),4)</f>
        <v>0</v>
      </c>
      <c r="G15" s="42">
        <f>INDEX('9of st. k.'!B4:G29,MATCH(12,B4:B29,0),5)</f>
        <v>86</v>
      </c>
      <c r="H15" s="6">
        <f>INDEX('9of st. k.'!B4:G29,MATCH(12,B4:B29,0),6)</f>
        <v>-36</v>
      </c>
    </row>
    <row r="16" spans="2:8" x14ac:dyDescent="0.2">
      <c r="B16" s="6">
        <f>RANK('9of st. k.'!C16,'9of st. k.'!$C$4:'9of st. k.'!$C$29,1)+COUNTIF('9of st. k.'!$C$4:'9of st. k.'!C16,'9of st. k.'!C16)-1</f>
        <v>18</v>
      </c>
      <c r="C16" s="5" t="str">
        <f>INDEX('9of st. k.'!B4:G29,MATCH(13,B4:B29,0),1)</f>
        <v>strzyżowski</v>
      </c>
      <c r="D16" s="6">
        <f>INDEX('9of st. k.'!B4:G29,MATCH(13,B4:B29,0),2)</f>
        <v>54</v>
      </c>
      <c r="E16" s="42">
        <f>INDEX('9of st. k.'!B4:G29,MATCH(13,B4:B29,0),3)</f>
        <v>95</v>
      </c>
      <c r="F16" s="6">
        <f>INDEX('9of st. k.'!B4:G29,MATCH(13,B4:B29,0),4)</f>
        <v>-41</v>
      </c>
      <c r="G16" s="42">
        <f>INDEX('9of st. k.'!B4:G29,MATCH(13,B4:B29,0),5)</f>
        <v>78</v>
      </c>
      <c r="H16" s="6">
        <f>INDEX('9of st. k.'!B4:G29,MATCH(13,B4:B29,0),6)</f>
        <v>-24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jarosławski</v>
      </c>
      <c r="D17" s="6">
        <f>INDEX('9of st. k.'!B4:G29,MATCH(14,B4:B29,0),2)</f>
        <v>62</v>
      </c>
      <c r="E17" s="42">
        <f>INDEX('9of st. k.'!B4:G29,MATCH(14,B4:B29,0),3)</f>
        <v>185</v>
      </c>
      <c r="F17" s="6">
        <f>INDEX('9of st. k.'!B4:G29,MATCH(14,B4:B29,0),4)</f>
        <v>-123</v>
      </c>
      <c r="G17" s="42">
        <f>INDEX('9of st. k.'!B4:G29,MATCH(14,B4:B29,0),5)</f>
        <v>111</v>
      </c>
      <c r="H17" s="6">
        <f>INDEX('9of st. k.'!B4:G29,MATCH(14,B4:B29,0),6)</f>
        <v>-49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Krosno</v>
      </c>
      <c r="D18" s="6">
        <f>INDEX('9of st. k.'!B4:G29,MATCH(15,B4:B29,0),2)</f>
        <v>63</v>
      </c>
      <c r="E18" s="42">
        <f>INDEX('9of st. k.'!B4:G29,MATCH(15,B4:B29,0),3)</f>
        <v>43</v>
      </c>
      <c r="F18" s="6">
        <f>INDEX('9of st. k.'!B4:G29,MATCH(15,B4:B29,0),4)</f>
        <v>20</v>
      </c>
      <c r="G18" s="42">
        <f>INDEX('9of st. k.'!B4:G29,MATCH(15,B4:B29,0),5)</f>
        <v>17</v>
      </c>
      <c r="H18" s="6">
        <f>INDEX('9of st. k.'!B4:G29,MATCH(15,B4:B29,0),6)</f>
        <v>46</v>
      </c>
    </row>
    <row r="19" spans="2:8" x14ac:dyDescent="0.2">
      <c r="B19" s="6">
        <f>RANK('9of st. k.'!C19,'9of st. k.'!$C$4:'9of st. k.'!$C$29,1)+COUNTIF('9of st. k.'!$C$4:'9of st. k.'!C19,'9of st. k.'!C19)-1</f>
        <v>8</v>
      </c>
      <c r="C19" s="5" t="str">
        <f>INDEX('9of st. k.'!B4:G29,MATCH(16,B4:B29,0),1)</f>
        <v>lubaczowski</v>
      </c>
      <c r="D19" s="6">
        <f>INDEX('9of st. k.'!B4:G29,MATCH(16,B4:B29,0),2)</f>
        <v>66</v>
      </c>
      <c r="E19" s="42">
        <f>INDEX('9of st. k.'!B4:G29,MATCH(16,B4:B29,0),3)</f>
        <v>45</v>
      </c>
      <c r="F19" s="6">
        <f>INDEX('9of st. k.'!B4:G29,MATCH(16,B4:B29,0),4)</f>
        <v>21</v>
      </c>
      <c r="G19" s="42">
        <f>INDEX('9of st. k.'!B4:G29,MATCH(16,B4:B29,0),5)</f>
        <v>76</v>
      </c>
      <c r="H19" s="6">
        <f>INDEX('9of st. k.'!B4:G29,MATCH(16,B4:B29,0),6)</f>
        <v>-10</v>
      </c>
    </row>
    <row r="20" spans="2:8" x14ac:dyDescent="0.2">
      <c r="B20" s="6">
        <f>RANK('9of st. k.'!C20,'9of st. k.'!$C$4:'9of st. k.'!$C$29,1)+COUNTIF('9of st. k.'!$C$4:'9of st. k.'!C20,'9of st. k.'!C20)-1</f>
        <v>12</v>
      </c>
      <c r="C20" s="5" t="str">
        <f>INDEX('9of st. k.'!B4:G29,MATCH(17,B4:B29,0),1)</f>
        <v>kolbuszowski</v>
      </c>
      <c r="D20" s="6">
        <f>INDEX('9of st. k.'!B4:G29,MATCH(17,B4:B29,0),2)</f>
        <v>73</v>
      </c>
      <c r="E20" s="42">
        <f>INDEX('9of st. k.'!B4:G29,MATCH(17,B4:B29,0),3)</f>
        <v>47</v>
      </c>
      <c r="F20" s="6">
        <f>INDEX('9of st. k.'!B4:G29,MATCH(17,B4:B29,0),4)</f>
        <v>26</v>
      </c>
      <c r="G20" s="42">
        <f>INDEX('9of st. k.'!B4:G29,MATCH(17,B4:B29,0),5)</f>
        <v>87</v>
      </c>
      <c r="H20" s="6">
        <f>INDEX('9of st. k.'!B4:G29,MATCH(17,B4:B29,0),6)</f>
        <v>-14</v>
      </c>
    </row>
    <row r="21" spans="2:8" x14ac:dyDescent="0.2">
      <c r="B21" s="6">
        <f>RANK('9of st. k.'!C21,'9of st. k.'!$C$4:'9of st. k.'!$C$29,1)+COUNTIF('9of st. k.'!$C$4:'9of st. k.'!C21,'9of st. k.'!C21)-1</f>
        <v>6</v>
      </c>
      <c r="C21" s="5" t="str">
        <f>INDEX('9of st. k.'!B4:G29,MATCH(18,B4:B29,0),1)</f>
        <v>niżański</v>
      </c>
      <c r="D21" s="6">
        <f>INDEX('9of st. k.'!B4:G29,MATCH(18,B4:B29,0),2)</f>
        <v>86</v>
      </c>
      <c r="E21" s="42">
        <f>INDEX('9of st. k.'!B4:G29,MATCH(18,B4:B29,0),3)</f>
        <v>56</v>
      </c>
      <c r="F21" s="6">
        <f>INDEX('9of st. k.'!B4:G29,MATCH(18,B4:B29,0),4)</f>
        <v>30</v>
      </c>
      <c r="G21" s="42">
        <f>INDEX('9of st. k.'!B4:G29,MATCH(18,B4:B29,0),5)</f>
        <v>67</v>
      </c>
      <c r="H21" s="6">
        <f>INDEX('9of st. k.'!B4:G29,MATCH(18,B4:B29,0),6)</f>
        <v>19</v>
      </c>
    </row>
    <row r="22" spans="2:8" x14ac:dyDescent="0.2">
      <c r="B22" s="6">
        <f>RANK('9of st. k.'!C22,'9of st. k.'!$C$4:'9of st. k.'!$C$29,1)+COUNTIF('9of st. k.'!$C$4:'9of st. k.'!C22,'9of st. k.'!C22)-1</f>
        <v>19</v>
      </c>
      <c r="C22" s="5" t="str">
        <f>INDEX('9of st. k.'!B4:G29,MATCH(19,B4:B29,0),1)</f>
        <v>stalowowolski</v>
      </c>
      <c r="D22" s="6">
        <f>INDEX('9of st. k.'!B4:G29,MATCH(19,B4:B29,0),2)</f>
        <v>89</v>
      </c>
      <c r="E22" s="42">
        <f>INDEX('9of st. k.'!B4:G29,MATCH(19,B4:B29,0),3)</f>
        <v>52</v>
      </c>
      <c r="F22" s="6">
        <f>INDEX('9of st. k.'!B4:G29,MATCH(19,B4:B29,0),4)</f>
        <v>37</v>
      </c>
      <c r="G22" s="42">
        <f>INDEX('9of st. k.'!B4:G29,MATCH(19,B4:B29,0),5)</f>
        <v>60</v>
      </c>
      <c r="H22" s="6">
        <f>INDEX('9of st. k.'!B4:G29,MATCH(19,B4:B29,0),6)</f>
        <v>29</v>
      </c>
    </row>
    <row r="23" spans="2:8" x14ac:dyDescent="0.2">
      <c r="B23" s="6">
        <f>RANK('9of st. k.'!C23,'9of st. k.'!$C$4:'9of st. k.'!$C$29,1)+COUNTIF('9of st. k.'!$C$4:'9of st. k.'!C23,'9of st. k.'!C23)-1</f>
        <v>13</v>
      </c>
      <c r="C23" s="5" t="str">
        <f>INDEX('9of st. k.'!B4:G29,MATCH(20,B4:B29,0),1)</f>
        <v>leżajski</v>
      </c>
      <c r="D23" s="6">
        <f>INDEX('9of st. k.'!B4:G29,MATCH(20,B4:B29,0),2)</f>
        <v>131</v>
      </c>
      <c r="E23" s="42">
        <f>INDEX('9of st. k.'!B4:G29,MATCH(20,B4:B29,0),3)</f>
        <v>172</v>
      </c>
      <c r="F23" s="6">
        <f>INDEX('9of st. k.'!B4:G29,MATCH(20,B4:B29,0),4)</f>
        <v>-41</v>
      </c>
      <c r="G23" s="42">
        <f>INDEX('9of st. k.'!B4:G29,MATCH(20,B4:B29,0),5)</f>
        <v>46</v>
      </c>
      <c r="H23" s="6">
        <f>INDEX('9of st. k.'!B4:G29,MATCH(20,B4:B29,0),6)</f>
        <v>85</v>
      </c>
    </row>
    <row r="24" spans="2:8" x14ac:dyDescent="0.2">
      <c r="B24" s="6">
        <f>RANK('9of st. k.'!C24,'9of st. k.'!$C$4:'9of st. k.'!$C$29,1)+COUNTIF('9of st. k.'!$C$4:'9of st. k.'!C24,'9of st. k.'!C24)-1</f>
        <v>5</v>
      </c>
      <c r="C24" s="5" t="str">
        <f>INDEX('9of st. k.'!B4:G29,MATCH(21,B4:B29,0),1)</f>
        <v>jasielski</v>
      </c>
      <c r="D24" s="6">
        <f>INDEX('9of st. k.'!B4:G29,MATCH(21,B4:B29,0),2)</f>
        <v>145</v>
      </c>
      <c r="E24" s="42">
        <f>INDEX('9of st. k.'!B4:G29,MATCH(21,B4:B29,0),3)</f>
        <v>177</v>
      </c>
      <c r="F24" s="6">
        <f>INDEX('9of st. k.'!B4:G29,MATCH(21,B4:B29,0),4)</f>
        <v>-32</v>
      </c>
      <c r="G24" s="42">
        <f>INDEX('9of st. k.'!B4:G29,MATCH(21,B4:B29,0),5)</f>
        <v>53</v>
      </c>
      <c r="H24" s="6">
        <f>INDEX('9of st. k.'!B4:G29,MATCH(21,B4:B29,0),6)</f>
        <v>92</v>
      </c>
    </row>
    <row r="25" spans="2:8" x14ac:dyDescent="0.2">
      <c r="B25" s="6">
        <f>RANK('9of st. k.'!C25,'9of st. k.'!$C$4:'9of st. k.'!$C$29,1)+COUNTIF('9of st. k.'!$C$4:'9of st. k.'!C25,'9of st. k.'!C25)-1</f>
        <v>15</v>
      </c>
      <c r="C25" s="5" t="str">
        <f>INDEX('9of st. k.'!B4:G29,MATCH(22,B4:B29,0),1)</f>
        <v>przeworski</v>
      </c>
      <c r="D25" s="6">
        <f>INDEX('9of st. k.'!B4:G29,MATCH(22,B4:B29,0),2)</f>
        <v>157</v>
      </c>
      <c r="E25" s="42">
        <f>INDEX('9of st. k.'!B4:G29,MATCH(22,B4:B29,0),3)</f>
        <v>111</v>
      </c>
      <c r="F25" s="6">
        <f>INDEX('9of st. k.'!B4:G29,MATCH(22,B4:B29,0),4)</f>
        <v>46</v>
      </c>
      <c r="G25" s="42">
        <f>INDEX('9of st. k.'!B4:G29,MATCH(22,B4:B29,0),5)</f>
        <v>157</v>
      </c>
      <c r="H25" s="6">
        <f>INDEX('9of st. k.'!B4:G29,MATCH(22,B4:B29,0),6)</f>
        <v>0</v>
      </c>
    </row>
    <row r="26" spans="2:8" x14ac:dyDescent="0.2">
      <c r="B26" s="6">
        <f>RANK('9of st. k.'!C26,'9of st. k.'!$C$4:'9of st. k.'!$C$29,1)+COUNTIF('9of st. k.'!$C$4:'9of st. k.'!C26,'9of st. k.'!C26)-1</f>
        <v>7</v>
      </c>
      <c r="C26" s="5" t="str">
        <f>INDEX('9of st. k.'!B4:G29,MATCH(23,B4:B29,0),1)</f>
        <v>dębicki</v>
      </c>
      <c r="D26" s="6">
        <f>INDEX('9of st. k.'!B4:G29,MATCH(23,B4:B29,0),2)</f>
        <v>188</v>
      </c>
      <c r="E26" s="42">
        <f>INDEX('9of st. k.'!B4:G29,MATCH(23,B4:B29,0),3)</f>
        <v>164</v>
      </c>
      <c r="F26" s="6">
        <f>INDEX('9of st. k.'!B4:G29,MATCH(23,B4:B29,0),4)</f>
        <v>24</v>
      </c>
      <c r="G26" s="42">
        <f>INDEX('9of st. k.'!B4:G29,MATCH(23,B4:B29,0),5)</f>
        <v>121</v>
      </c>
      <c r="H26" s="6">
        <f>INDEX('9of st. k.'!B4:G29,MATCH(23,B4:B29,0),6)</f>
        <v>67</v>
      </c>
    </row>
    <row r="27" spans="2:8" x14ac:dyDescent="0.2">
      <c r="B27" s="6">
        <f>RANK('9of st. k.'!C27,'9of st. k.'!$C$4:'9of st. k.'!$C$29,1)+COUNTIF('9of st. k.'!$C$4:'9of st. k.'!C27,'9of st. k.'!C27)-1</f>
        <v>25</v>
      </c>
      <c r="C27" s="5" t="str">
        <f>INDEX('9of st. k.'!B4:G29,MATCH(24,B4:B29,0),1)</f>
        <v>mielecki</v>
      </c>
      <c r="D27" s="6">
        <f>INDEX('9of st. k.'!B4:G29,MATCH(24,B4:B29,0),2)</f>
        <v>261</v>
      </c>
      <c r="E27" s="42">
        <f>INDEX('9of st. k.'!B4:G29,MATCH(24,B4:B29,0),3)</f>
        <v>272</v>
      </c>
      <c r="F27" s="6">
        <f>INDEX('9of st. k.'!B4:G29,MATCH(24,B4:B29,0),4)</f>
        <v>-11</v>
      </c>
      <c r="G27" s="42">
        <f>INDEX('9of st. k.'!B4:G29,MATCH(24,B4:B29,0),5)</f>
        <v>261</v>
      </c>
      <c r="H27" s="6">
        <f>INDEX('9of st. k.'!B4:G29,MATCH(24,B4:B29,0),6)</f>
        <v>0</v>
      </c>
    </row>
    <row r="28" spans="2:8" x14ac:dyDescent="0.2">
      <c r="B28" s="6">
        <f>RANK('9of st. k.'!C28,'9of st. k.'!$C$4:'9of st. k.'!$C$29,1)+COUNTIF('9of st. k.'!$C$4:'9of st. k.'!C28,'9of st. k.'!C28)-1</f>
        <v>11</v>
      </c>
      <c r="C28" s="5" t="str">
        <f>INDEX('9of st. k.'!B4:G29,MATCH(25,B4:B29,0),1)</f>
        <v>Rzeszów</v>
      </c>
      <c r="D28" s="6">
        <f>INDEX('9of st. k.'!B4:G29,MATCH(25,B4:B29,0),2)</f>
        <v>261</v>
      </c>
      <c r="E28" s="42">
        <f>INDEX('9of st. k.'!B4:G29,MATCH(25,B4:B29,0),3)</f>
        <v>223</v>
      </c>
      <c r="F28" s="6">
        <f>INDEX('9of st. k.'!B4:G29,MATCH(25,B4:B29,0),4)</f>
        <v>38</v>
      </c>
      <c r="G28" s="42">
        <f>INDEX('9of st. k.'!B4:G29,MATCH(25,B4:B29,0),5)</f>
        <v>189</v>
      </c>
      <c r="H28" s="6">
        <f>INDEX('9of st. k.'!B4:G29,MATCH(25,B4:B29,0),6)</f>
        <v>72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2002</v>
      </c>
      <c r="E29" s="44">
        <f>INDEX('9of st. k.'!B4:G29,MATCH(26,B4:B29,0),3)</f>
        <v>2038</v>
      </c>
      <c r="F29" s="40">
        <f>INDEX('9of st. k.'!B4:G29,MATCH(26,B4:B29,0),4)</f>
        <v>-36</v>
      </c>
      <c r="G29" s="44">
        <f>INDEX('9of st. k.'!B4:G29,MATCH(26,B4:B29,0),5)</f>
        <v>1785</v>
      </c>
      <c r="H29" s="40">
        <f>INDEX('9of st. k.'!B4:G29,MATCH(26,B4:B29,0),6)</f>
        <v>217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2"/>
  <sheetViews>
    <sheetView zoomScaleNormal="100" workbookViewId="0">
      <selection activeCell="B1" sqref="B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4" width="8.28515625" style="51" customWidth="1"/>
    <col min="5" max="5" width="7.710937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7.7109375" style="51" customWidth="1"/>
    <col min="10" max="10" width="6.7109375" style="51" customWidth="1"/>
    <col min="11" max="11" width="1.5703125" style="51" customWidth="1"/>
    <col min="12" max="12" width="7.140625" style="51" customWidth="1"/>
    <col min="13" max="13" width="7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6" style="71" customWidth="1"/>
    <col min="29" max="29" width="18.7109375" style="51" customWidth="1"/>
    <col min="30" max="30" width="10.28515625" style="51" customWidth="1"/>
    <col min="31" max="31" width="1.7109375" style="51" customWidth="1"/>
    <col min="32" max="32" width="6" style="51" customWidth="1"/>
    <col min="33" max="33" width="18.85546875" style="51" customWidth="1"/>
    <col min="34" max="34" width="10.85546875" style="51" customWidth="1"/>
    <col min="35" max="35" width="1.5703125" style="51" customWidth="1"/>
    <col min="36" max="16384" width="9.140625" style="51"/>
  </cols>
  <sheetData>
    <row r="1" spans="2:35" ht="11.25" customHeight="1" x14ac:dyDescent="0.2">
      <c r="C1" s="99" t="s">
        <v>57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5" ht="13.5" customHeight="1" x14ac:dyDescent="0.2">
      <c r="C2" s="137" t="s">
        <v>53</v>
      </c>
      <c r="D2" s="95"/>
      <c r="E2" s="95"/>
      <c r="F2" s="95"/>
      <c r="G2" s="96"/>
      <c r="H2" s="137" t="s">
        <v>54</v>
      </c>
      <c r="I2" s="96"/>
      <c r="J2" s="96"/>
      <c r="K2" s="96"/>
      <c r="L2" s="137" t="s">
        <v>55</v>
      </c>
      <c r="M2" s="96"/>
      <c r="N2" s="96"/>
      <c r="O2" s="96"/>
      <c r="P2" s="50"/>
      <c r="Q2" s="79"/>
      <c r="R2" s="138" t="s">
        <v>65</v>
      </c>
      <c r="S2" s="96"/>
      <c r="T2" s="50"/>
      <c r="U2" s="79"/>
      <c r="V2" s="138" t="s">
        <v>65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</row>
    <row r="3" spans="2:35" ht="13.5" customHeight="1" x14ac:dyDescent="0.2">
      <c r="C3" s="137"/>
      <c r="D3" s="95"/>
      <c r="E3" s="95"/>
      <c r="F3" s="95"/>
      <c r="G3" s="96"/>
      <c r="H3" s="137"/>
      <c r="I3" s="96"/>
      <c r="J3" s="96"/>
      <c r="K3" s="96"/>
      <c r="L3" s="137"/>
      <c r="M3" s="96"/>
      <c r="N3" s="96"/>
      <c r="O3" s="96"/>
      <c r="P3" s="50"/>
      <c r="Q3" s="79"/>
      <c r="R3" s="138"/>
      <c r="S3" s="96"/>
      <c r="T3" s="50"/>
      <c r="U3" s="79"/>
      <c r="V3" s="138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</row>
    <row r="4" spans="2:35" ht="13.5" customHeight="1" thickBot="1" x14ac:dyDescent="0.25">
      <c r="C4" s="137"/>
      <c r="D4" s="95"/>
      <c r="E4" s="95"/>
      <c r="F4" s="95"/>
      <c r="G4" s="96"/>
      <c r="H4" s="137"/>
      <c r="I4" s="96"/>
      <c r="J4" s="96"/>
      <c r="K4" s="96"/>
      <c r="L4" s="137"/>
      <c r="M4" s="96"/>
      <c r="N4" s="96"/>
      <c r="O4" s="96"/>
      <c r="P4" s="50"/>
      <c r="Q4" s="79"/>
      <c r="R4" s="138"/>
      <c r="S4" s="96"/>
      <c r="T4" s="50"/>
      <c r="U4" s="79"/>
      <c r="V4" s="138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</row>
    <row r="5" spans="2:35" ht="47.25" customHeight="1" thickBot="1" x14ac:dyDescent="0.25">
      <c r="B5" s="119"/>
      <c r="C5" s="94" t="s">
        <v>27</v>
      </c>
      <c r="D5" s="100" t="s">
        <v>96</v>
      </c>
      <c r="E5" s="102" t="s">
        <v>97</v>
      </c>
      <c r="F5" s="120" t="s">
        <v>58</v>
      </c>
      <c r="G5" s="75"/>
      <c r="H5" s="101" t="s">
        <v>98</v>
      </c>
      <c r="I5" s="102" t="s">
        <v>99</v>
      </c>
      <c r="J5" s="120" t="s">
        <v>59</v>
      </c>
      <c r="K5" s="75"/>
      <c r="L5" s="101" t="s">
        <v>100</v>
      </c>
      <c r="M5" s="102" t="s">
        <v>101</v>
      </c>
      <c r="N5" s="120" t="s">
        <v>58</v>
      </c>
      <c r="O5" s="75"/>
      <c r="P5" s="118" t="s">
        <v>56</v>
      </c>
      <c r="Q5" s="77"/>
      <c r="R5" s="126" t="s">
        <v>64</v>
      </c>
      <c r="S5" s="102" t="s">
        <v>102</v>
      </c>
      <c r="T5" s="131" t="s">
        <v>69</v>
      </c>
      <c r="U5" s="53"/>
      <c r="V5" s="126" t="s">
        <v>66</v>
      </c>
      <c r="W5" s="110" t="s">
        <v>103</v>
      </c>
      <c r="X5" s="132" t="s">
        <v>70</v>
      </c>
      <c r="Y5" s="156"/>
      <c r="Z5" s="118" t="s">
        <v>71</v>
      </c>
      <c r="AB5" s="155" t="s">
        <v>67</v>
      </c>
      <c r="AC5" s="133"/>
      <c r="AD5" s="134" t="s">
        <v>74</v>
      </c>
      <c r="AE5" s="115"/>
      <c r="AF5" s="155" t="s">
        <v>68</v>
      </c>
      <c r="AG5" s="133"/>
      <c r="AH5" s="134" t="s">
        <v>75</v>
      </c>
      <c r="AI5" s="77"/>
    </row>
    <row r="6" spans="2:35" x14ac:dyDescent="0.2">
      <c r="B6" s="119">
        <v>1</v>
      </c>
      <c r="C6" s="81" t="s">
        <v>0</v>
      </c>
      <c r="D6" s="145">
        <v>121</v>
      </c>
      <c r="E6" s="146">
        <v>132</v>
      </c>
      <c r="F6" s="103">
        <f t="shared" ref="F6:F31" si="0">D6-E6</f>
        <v>-11</v>
      </c>
      <c r="G6" s="73"/>
      <c r="H6" s="52">
        <v>64</v>
      </c>
      <c r="I6" s="54">
        <v>70</v>
      </c>
      <c r="J6" s="67">
        <f>H6-I6</f>
        <v>-6</v>
      </c>
      <c r="K6" s="76"/>
      <c r="L6" s="52">
        <v>73</v>
      </c>
      <c r="M6" s="54">
        <v>61</v>
      </c>
      <c r="N6" s="67">
        <f>L6-M6</f>
        <v>12</v>
      </c>
      <c r="O6" s="76"/>
      <c r="P6" s="61">
        <f>F6+J6+N6</f>
        <v>-5</v>
      </c>
      <c r="Q6" s="78"/>
      <c r="R6" s="127">
        <v>1085</v>
      </c>
      <c r="S6" s="54">
        <v>1082</v>
      </c>
      <c r="T6" s="63">
        <f>SUM(S6-R6)</f>
        <v>-3</v>
      </c>
      <c r="U6" s="55"/>
      <c r="V6" s="127">
        <v>1130</v>
      </c>
      <c r="W6" s="108">
        <v>1095</v>
      </c>
      <c r="X6" s="108">
        <f>SUM(W6-V6)</f>
        <v>-35</v>
      </c>
      <c r="Y6" s="78"/>
      <c r="Z6" s="61">
        <f>SUM(T6+X6)</f>
        <v>-38</v>
      </c>
      <c r="AB6" s="61">
        <f>RANK(P6,$P$6:$P$30,1)+COUNTIF($P$6:P6,P6)-1</f>
        <v>14</v>
      </c>
      <c r="AC6" s="161" t="str">
        <f>INDEX(C6:P30,MATCH(25,AB6:AB30,0),1)</f>
        <v>jarosławski</v>
      </c>
      <c r="AD6" s="54">
        <f>INDEX(C6:P30,MATCH(25,AB6:AB30,0),14)</f>
        <v>139</v>
      </c>
      <c r="AE6" s="116"/>
      <c r="AF6" s="61">
        <f>RANK(Z6,$Z$6:$Z$30,1)+COUNTIF($Z$6:Z6,Z6)-1</f>
        <v>5</v>
      </c>
      <c r="AG6" s="64" t="str">
        <f>INDEX(C6:Z30,MATCH(25,AF6:AF30,0),1)</f>
        <v>sanocki</v>
      </c>
      <c r="AH6" s="54">
        <f>INDEX(C6:Z30,MATCH(25,AF6:AF30,0),24)</f>
        <v>362</v>
      </c>
      <c r="AI6" s="79"/>
    </row>
    <row r="7" spans="2:35" x14ac:dyDescent="0.2">
      <c r="B7" s="119">
        <v>2</v>
      </c>
      <c r="C7" s="82" t="s">
        <v>1</v>
      </c>
      <c r="D7" s="147">
        <v>511</v>
      </c>
      <c r="E7" s="148">
        <v>490</v>
      </c>
      <c r="F7" s="104">
        <f t="shared" si="0"/>
        <v>21</v>
      </c>
      <c r="G7" s="73"/>
      <c r="H7" s="57">
        <v>83</v>
      </c>
      <c r="I7" s="56">
        <v>98</v>
      </c>
      <c r="J7" s="68">
        <f t="shared" ref="J7:J31" si="1">H7-I7</f>
        <v>-15</v>
      </c>
      <c r="K7" s="76"/>
      <c r="L7" s="57">
        <v>61</v>
      </c>
      <c r="M7" s="56">
        <v>72</v>
      </c>
      <c r="N7" s="68">
        <f t="shared" ref="N7:N31" si="2">L7-M7</f>
        <v>-11</v>
      </c>
      <c r="O7" s="76"/>
      <c r="P7" s="62">
        <f>F7+J7+N7</f>
        <v>-5</v>
      </c>
      <c r="Q7" s="78"/>
      <c r="R7" s="128">
        <v>3848</v>
      </c>
      <c r="S7" s="139">
        <v>3778</v>
      </c>
      <c r="T7" s="72">
        <f t="shared" ref="T7:T30" si="3">SUM(S7-R7)</f>
        <v>-70</v>
      </c>
      <c r="U7" s="55"/>
      <c r="V7" s="128">
        <v>3780</v>
      </c>
      <c r="W7" s="109">
        <v>3773</v>
      </c>
      <c r="X7" s="109">
        <f t="shared" ref="X7:X30" si="4">SUM(W7-V7)</f>
        <v>-7</v>
      </c>
      <c r="Y7" s="78"/>
      <c r="Z7" s="62">
        <f>SUM(T7+X7)</f>
        <v>-77</v>
      </c>
      <c r="AB7" s="62">
        <f>RANK(P7,$P$6:$P$30,1)+COUNTIF($P$6:P7,P7)-1</f>
        <v>15</v>
      </c>
      <c r="AC7" s="65" t="str">
        <f>INDEX(C6:P30,MATCH(24,AB6:AB30,0),1)</f>
        <v>krośnieński</v>
      </c>
      <c r="AD7" s="56">
        <f>INDEX(C6:P30,MATCH(24,AB6:AB30,0),14)</f>
        <v>80</v>
      </c>
      <c r="AE7" s="116"/>
      <c r="AF7" s="62">
        <f>RANK(Z7,$Z$6:$Z$30,1)+COUNTIF($Z$6:Z7,Z7)-1</f>
        <v>3</v>
      </c>
      <c r="AG7" s="160" t="str">
        <f>INDEX(C6:Z30,MATCH(24,AF6:AF30,0),1)</f>
        <v>jarosławski</v>
      </c>
      <c r="AH7" s="56">
        <f>INDEX(C6:Z30,MATCH(24,AF6:AF30,0),24)</f>
        <v>324</v>
      </c>
      <c r="AI7" s="79"/>
    </row>
    <row r="8" spans="2:35" x14ac:dyDescent="0.2">
      <c r="B8" s="119">
        <v>3</v>
      </c>
      <c r="C8" s="82" t="s">
        <v>2</v>
      </c>
      <c r="D8" s="147">
        <v>534</v>
      </c>
      <c r="E8" s="148">
        <v>533</v>
      </c>
      <c r="F8" s="104">
        <f t="shared" si="0"/>
        <v>1</v>
      </c>
      <c r="G8" s="73"/>
      <c r="H8" s="57">
        <v>55</v>
      </c>
      <c r="I8" s="56">
        <v>67</v>
      </c>
      <c r="J8" s="68">
        <f t="shared" si="1"/>
        <v>-12</v>
      </c>
      <c r="K8" s="76"/>
      <c r="L8" s="57">
        <v>47</v>
      </c>
      <c r="M8" s="56">
        <v>61</v>
      </c>
      <c r="N8" s="68">
        <f t="shared" si="2"/>
        <v>-14</v>
      </c>
      <c r="O8" s="76"/>
      <c r="P8" s="62">
        <f>F8+J8+N8</f>
        <v>-25</v>
      </c>
      <c r="Q8" s="78"/>
      <c r="R8" s="128">
        <v>2433</v>
      </c>
      <c r="S8" s="139">
        <v>2517</v>
      </c>
      <c r="T8" s="56">
        <f t="shared" si="3"/>
        <v>84</v>
      </c>
      <c r="U8" s="50"/>
      <c r="V8" s="128">
        <v>2247</v>
      </c>
      <c r="W8" s="109">
        <v>2407</v>
      </c>
      <c r="X8" s="68">
        <f t="shared" si="4"/>
        <v>160</v>
      </c>
      <c r="Y8" s="79"/>
      <c r="Z8" s="62">
        <f t="shared" ref="Z8:Z31" si="5">SUM(T8+X8)</f>
        <v>244</v>
      </c>
      <c r="AB8" s="62">
        <f>RANK(P8,$P$6:$P$30,1)+COUNTIF($P$6:P8,P8)-1</f>
        <v>9</v>
      </c>
      <c r="AC8" s="65" t="str">
        <f>INDEX(C6:P30,MATCH(23,AB6:AB30,0),1)</f>
        <v>kolbuszowski</v>
      </c>
      <c r="AD8" s="56">
        <f>INDEX(C6:P30,MATCH(23,AB6:AB30,0),14)</f>
        <v>47</v>
      </c>
      <c r="AE8" s="116"/>
      <c r="AF8" s="62">
        <f>RANK(Z8,$Z$6:$Z$30,1)+COUNTIF($Z$6:Z8,Z8)-1</f>
        <v>20</v>
      </c>
      <c r="AG8" s="65" t="str">
        <f>INDEX(C6:Z30,MATCH(23,AF6:AF30,0),1)</f>
        <v>krośnieński</v>
      </c>
      <c r="AH8" s="56">
        <f>INDEX(C6:Z30,MATCH(23,AF6:AF30,0),24)</f>
        <v>309</v>
      </c>
      <c r="AI8" s="79"/>
    </row>
    <row r="9" spans="2:35" x14ac:dyDescent="0.2">
      <c r="B9" s="119">
        <v>4</v>
      </c>
      <c r="C9" s="82" t="s">
        <v>3</v>
      </c>
      <c r="D9" s="147">
        <v>681</v>
      </c>
      <c r="E9" s="148">
        <v>605</v>
      </c>
      <c r="F9" s="104">
        <f t="shared" si="0"/>
        <v>76</v>
      </c>
      <c r="G9" s="73"/>
      <c r="H9" s="57">
        <v>203</v>
      </c>
      <c r="I9" s="56">
        <v>201</v>
      </c>
      <c r="J9" s="68">
        <f t="shared" si="1"/>
        <v>2</v>
      </c>
      <c r="K9" s="76"/>
      <c r="L9" s="57">
        <v>163</v>
      </c>
      <c r="M9" s="56">
        <v>102</v>
      </c>
      <c r="N9" s="68">
        <f t="shared" si="2"/>
        <v>61</v>
      </c>
      <c r="O9" s="76"/>
      <c r="P9" s="62">
        <f t="shared" ref="P9:P30" si="6">F9+J9+N9</f>
        <v>139</v>
      </c>
      <c r="Q9" s="78"/>
      <c r="R9" s="128">
        <v>4299</v>
      </c>
      <c r="S9" s="139">
        <v>4469</v>
      </c>
      <c r="T9" s="56">
        <f t="shared" si="3"/>
        <v>170</v>
      </c>
      <c r="U9" s="50"/>
      <c r="V9" s="128">
        <v>4489</v>
      </c>
      <c r="W9" s="109">
        <v>4643</v>
      </c>
      <c r="X9" s="68">
        <f t="shared" si="4"/>
        <v>154</v>
      </c>
      <c r="Y9" s="79"/>
      <c r="Z9" s="62">
        <f t="shared" si="5"/>
        <v>324</v>
      </c>
      <c r="AB9" s="62">
        <f>RANK(P9,$P$6:$P$30,1)+COUNTIF($P$6:P9,P9)-1</f>
        <v>25</v>
      </c>
      <c r="AC9" s="65" t="str">
        <f>INDEX(C6:P30,MATCH(22,AB6:AB30,0),1)</f>
        <v>leski</v>
      </c>
      <c r="AD9" s="56">
        <f>INDEX(C6:P30,MATCH(22,AB6:AB30,0),14)</f>
        <v>46</v>
      </c>
      <c r="AE9" s="116"/>
      <c r="AF9" s="62">
        <f>RANK(Z9,$Z$6:$Z$30,1)+COUNTIF($Z$6:Z9,Z9)-1</f>
        <v>24</v>
      </c>
      <c r="AG9" s="65" t="str">
        <f>INDEX(C6:Z30,MATCH(22,AF6:AF30,0),1)</f>
        <v>stalowowolski</v>
      </c>
      <c r="AH9" s="56">
        <f>INDEX(C6:Z30,MATCH(22,AF6:AF30,0),24)</f>
        <v>286</v>
      </c>
      <c r="AI9" s="79"/>
    </row>
    <row r="10" spans="2:35" x14ac:dyDescent="0.2">
      <c r="B10" s="119">
        <v>5</v>
      </c>
      <c r="C10" s="82" t="s">
        <v>4</v>
      </c>
      <c r="D10" s="147">
        <v>562</v>
      </c>
      <c r="E10" s="148">
        <v>603</v>
      </c>
      <c r="F10" s="104">
        <f t="shared" si="0"/>
        <v>-41</v>
      </c>
      <c r="G10" s="73"/>
      <c r="H10" s="57">
        <v>164</v>
      </c>
      <c r="I10" s="56">
        <v>149</v>
      </c>
      <c r="J10" s="68">
        <f t="shared" si="1"/>
        <v>15</v>
      </c>
      <c r="K10" s="76"/>
      <c r="L10" s="57">
        <v>91</v>
      </c>
      <c r="M10" s="56">
        <v>111</v>
      </c>
      <c r="N10" s="68">
        <f t="shared" si="2"/>
        <v>-20</v>
      </c>
      <c r="O10" s="76"/>
      <c r="P10" s="62">
        <f t="shared" si="6"/>
        <v>-46</v>
      </c>
      <c r="Q10" s="78"/>
      <c r="R10" s="128">
        <v>5107</v>
      </c>
      <c r="S10" s="139">
        <v>5146</v>
      </c>
      <c r="T10" s="56">
        <f t="shared" si="3"/>
        <v>39</v>
      </c>
      <c r="U10" s="50"/>
      <c r="V10" s="128">
        <v>4919</v>
      </c>
      <c r="W10" s="109">
        <v>4996</v>
      </c>
      <c r="X10" s="68">
        <f t="shared" si="4"/>
        <v>77</v>
      </c>
      <c r="Y10" s="79"/>
      <c r="Z10" s="62">
        <f t="shared" si="5"/>
        <v>116</v>
      </c>
      <c r="AB10" s="62">
        <f>RANK(P10,$P$6:$P$30,1)+COUNTIF($P$6:P10,P10)-1</f>
        <v>4</v>
      </c>
      <c r="AC10" s="65" t="str">
        <f>INDEX(C6:P30,MATCH(21,AB6:AB30,0),1)</f>
        <v>leżajski</v>
      </c>
      <c r="AD10" s="56">
        <f>INDEX(C6:P30,MATCH(21,AB6:AB30,0),14)</f>
        <v>45</v>
      </c>
      <c r="AE10" s="116"/>
      <c r="AF10" s="62">
        <f>RANK(Z10,$Z$6:$Z$30,1)+COUNTIF($Z$6:Z10,Z10)-1</f>
        <v>15</v>
      </c>
      <c r="AG10" s="65" t="str">
        <f>INDEX(C6:Z30,MATCH(21,AF6:AF30,0),1)</f>
        <v>Rzeszów</v>
      </c>
      <c r="AH10" s="56">
        <f>INDEX(C6:Z30,MATCH(21,AF6:AF30,0),24)</f>
        <v>251</v>
      </c>
      <c r="AI10" s="79"/>
    </row>
    <row r="11" spans="2:35" x14ac:dyDescent="0.2">
      <c r="B11" s="119">
        <v>6</v>
      </c>
      <c r="C11" s="82" t="s">
        <v>5</v>
      </c>
      <c r="D11" s="147">
        <v>325</v>
      </c>
      <c r="E11" s="148">
        <v>300</v>
      </c>
      <c r="F11" s="104">
        <f t="shared" si="0"/>
        <v>25</v>
      </c>
      <c r="G11" s="73"/>
      <c r="H11" s="57">
        <v>37</v>
      </c>
      <c r="I11" s="56">
        <v>32</v>
      </c>
      <c r="J11" s="68">
        <f t="shared" si="1"/>
        <v>5</v>
      </c>
      <c r="K11" s="76"/>
      <c r="L11" s="57">
        <v>39</v>
      </c>
      <c r="M11" s="56">
        <v>22</v>
      </c>
      <c r="N11" s="68">
        <f t="shared" si="2"/>
        <v>17</v>
      </c>
      <c r="O11" s="76"/>
      <c r="P11" s="62">
        <f>F11+J11+N11</f>
        <v>47</v>
      </c>
      <c r="Q11" s="78"/>
      <c r="R11" s="128">
        <v>1494</v>
      </c>
      <c r="S11" s="139">
        <v>1571</v>
      </c>
      <c r="T11" s="139">
        <f>SUM(S11-R11)</f>
        <v>77</v>
      </c>
      <c r="U11" s="50"/>
      <c r="V11" s="128">
        <v>1536</v>
      </c>
      <c r="W11" s="109">
        <v>1625</v>
      </c>
      <c r="X11" s="109">
        <f>SUM(W11-V11)</f>
        <v>89</v>
      </c>
      <c r="Y11" s="78"/>
      <c r="Z11" s="62">
        <f t="shared" si="5"/>
        <v>166</v>
      </c>
      <c r="AB11" s="62">
        <f>RANK(P11,$P$6:$P$30,1)+COUNTIF($P$6:P11,P11)-1</f>
        <v>23</v>
      </c>
      <c r="AC11" s="65" t="str">
        <f>INDEX(C6:P30,MATCH(20,AB6:AB30,0),1)</f>
        <v>ropczycko-sędziszowski</v>
      </c>
      <c r="AD11" s="56">
        <f>INDEX(C6:P30,MATCH(20,AB6:AB30,0),14)</f>
        <v>30</v>
      </c>
      <c r="AE11" s="116"/>
      <c r="AF11" s="62">
        <f>RANK(Z11,$Z$6:$Z$30,1)+COUNTIF($Z$6:Z11,Z11)-1</f>
        <v>19</v>
      </c>
      <c r="AG11" s="65" t="str">
        <f>INDEX(C6:Z30,MATCH(20,AF6:AF30,0),1)</f>
        <v>dębicki</v>
      </c>
      <c r="AH11" s="56">
        <f>INDEX(C6:Z30,MATCH(20,AF6:AF30,0),24)</f>
        <v>244</v>
      </c>
      <c r="AI11" s="79"/>
    </row>
    <row r="12" spans="2:35" x14ac:dyDescent="0.2">
      <c r="B12" s="119">
        <v>7</v>
      </c>
      <c r="C12" s="82" t="s">
        <v>6</v>
      </c>
      <c r="D12" s="147">
        <v>487</v>
      </c>
      <c r="E12" s="148">
        <v>402</v>
      </c>
      <c r="F12" s="104">
        <f t="shared" si="0"/>
        <v>85</v>
      </c>
      <c r="G12" s="73"/>
      <c r="H12" s="57">
        <v>62</v>
      </c>
      <c r="I12" s="56">
        <v>67</v>
      </c>
      <c r="J12" s="68">
        <f t="shared" si="1"/>
        <v>-5</v>
      </c>
      <c r="K12" s="76"/>
      <c r="L12" s="57">
        <v>47</v>
      </c>
      <c r="M12" s="56">
        <v>47</v>
      </c>
      <c r="N12" s="68">
        <f t="shared" si="2"/>
        <v>0</v>
      </c>
      <c r="O12" s="76"/>
      <c r="P12" s="62">
        <f>F12+J12+N12</f>
        <v>80</v>
      </c>
      <c r="Q12" s="78"/>
      <c r="R12" s="128">
        <v>2221</v>
      </c>
      <c r="S12" s="139">
        <v>2407</v>
      </c>
      <c r="T12" s="72">
        <f t="shared" si="3"/>
        <v>186</v>
      </c>
      <c r="U12" s="50"/>
      <c r="V12" s="128">
        <v>2356</v>
      </c>
      <c r="W12" s="109">
        <v>2479</v>
      </c>
      <c r="X12" s="68">
        <f t="shared" si="4"/>
        <v>123</v>
      </c>
      <c r="Y12" s="79"/>
      <c r="Z12" s="62">
        <f>SUM(T12+X12)</f>
        <v>309</v>
      </c>
      <c r="AB12" s="62">
        <f>RANK(P12,$P$6:$P$30,1)+COUNTIF($P$6:P12,P12)-1</f>
        <v>24</v>
      </c>
      <c r="AC12" s="65" t="str">
        <f>INDEX(C6:P30,MATCH(19,AB6:AB30,0),1)</f>
        <v>sanocki</v>
      </c>
      <c r="AD12" s="56">
        <f>INDEX(C6:P30,MATCH(19,AB6:AB30,0),14)</f>
        <v>22</v>
      </c>
      <c r="AE12" s="116"/>
      <c r="AF12" s="62">
        <f>RANK(Z12,$Z$6:$Z$30,1)+COUNTIF($Z$6:Z12,Z12)-1</f>
        <v>23</v>
      </c>
      <c r="AG12" s="65" t="str">
        <f>INDEX(C6:Z30,MATCH(19,AF6:AF30,0),1)</f>
        <v>kolbuszowski</v>
      </c>
      <c r="AH12" s="56">
        <f>INDEX(C6:Z30,MATCH(19,AF6:AF30,0),24)</f>
        <v>166</v>
      </c>
      <c r="AI12" s="79"/>
    </row>
    <row r="13" spans="2:35" x14ac:dyDescent="0.2">
      <c r="B13" s="119">
        <v>8</v>
      </c>
      <c r="C13" s="82" t="s">
        <v>7</v>
      </c>
      <c r="D13" s="147">
        <v>228</v>
      </c>
      <c r="E13" s="148">
        <v>214</v>
      </c>
      <c r="F13" s="104">
        <f t="shared" si="0"/>
        <v>14</v>
      </c>
      <c r="G13" s="73"/>
      <c r="H13" s="57">
        <v>56</v>
      </c>
      <c r="I13" s="56">
        <v>31</v>
      </c>
      <c r="J13" s="68">
        <f t="shared" si="1"/>
        <v>25</v>
      </c>
      <c r="K13" s="76"/>
      <c r="L13" s="57">
        <v>26</v>
      </c>
      <c r="M13" s="56">
        <v>19</v>
      </c>
      <c r="N13" s="68">
        <f t="shared" si="2"/>
        <v>7</v>
      </c>
      <c r="O13" s="76"/>
      <c r="P13" s="62">
        <f t="shared" si="6"/>
        <v>46</v>
      </c>
      <c r="Q13" s="78"/>
      <c r="R13" s="128">
        <v>1716</v>
      </c>
      <c r="S13" s="139">
        <v>1733</v>
      </c>
      <c r="T13" s="56">
        <f t="shared" si="3"/>
        <v>17</v>
      </c>
      <c r="U13" s="50"/>
      <c r="V13" s="128">
        <v>1726</v>
      </c>
      <c r="W13" s="109">
        <v>1701</v>
      </c>
      <c r="X13" s="68">
        <f t="shared" si="4"/>
        <v>-25</v>
      </c>
      <c r="Y13" s="79"/>
      <c r="Z13" s="62">
        <f t="shared" si="5"/>
        <v>-8</v>
      </c>
      <c r="AB13" s="62">
        <f>RANK(P13,$P$6:$P$30,1)+COUNTIF($P$6:P13,P13)-1</f>
        <v>22</v>
      </c>
      <c r="AC13" s="65" t="str">
        <f>INDEX(C6:P30,MATCH(18,AB6:AB30,0),1)</f>
        <v>tarnobrzeski</v>
      </c>
      <c r="AD13" s="56">
        <f>INDEX(C6:P30,MATCH(18,AB6:AB30,0),14)</f>
        <v>13</v>
      </c>
      <c r="AE13" s="116"/>
      <c r="AF13" s="62">
        <f>RANK(Z13,$Z$6:$Z$30,1)+COUNTIF($Z$6:Z13,Z13)-1</f>
        <v>6</v>
      </c>
      <c r="AG13" s="65" t="str">
        <f>INDEX(C6:Z30,MATCH(18,AF6:AF30,0),1)</f>
        <v>Krosno</v>
      </c>
      <c r="AH13" s="56">
        <f>INDEX(C6:Z30,MATCH(18,AF6:AF30,0),24)</f>
        <v>153</v>
      </c>
      <c r="AI13" s="79"/>
    </row>
    <row r="14" spans="2:35" x14ac:dyDescent="0.2">
      <c r="B14" s="119">
        <v>9</v>
      </c>
      <c r="C14" s="82" t="s">
        <v>8</v>
      </c>
      <c r="D14" s="147">
        <v>395</v>
      </c>
      <c r="E14" s="148">
        <v>337</v>
      </c>
      <c r="F14" s="104">
        <f t="shared" si="0"/>
        <v>58</v>
      </c>
      <c r="G14" s="73"/>
      <c r="H14" s="57">
        <v>121</v>
      </c>
      <c r="I14" s="56">
        <v>133</v>
      </c>
      <c r="J14" s="68">
        <f t="shared" si="1"/>
        <v>-12</v>
      </c>
      <c r="K14" s="76"/>
      <c r="L14" s="57">
        <v>179</v>
      </c>
      <c r="M14" s="56">
        <v>180</v>
      </c>
      <c r="N14" s="68">
        <f t="shared" si="2"/>
        <v>-1</v>
      </c>
      <c r="O14" s="76"/>
      <c r="P14" s="62">
        <f t="shared" si="6"/>
        <v>45</v>
      </c>
      <c r="Q14" s="78"/>
      <c r="R14" s="128">
        <v>3105</v>
      </c>
      <c r="S14" s="139">
        <v>3128</v>
      </c>
      <c r="T14" s="56">
        <f t="shared" si="3"/>
        <v>23</v>
      </c>
      <c r="U14" s="50"/>
      <c r="V14" s="128">
        <v>2975</v>
      </c>
      <c r="W14" s="109">
        <v>3010</v>
      </c>
      <c r="X14" s="68">
        <f t="shared" si="4"/>
        <v>35</v>
      </c>
      <c r="Y14" s="79"/>
      <c r="Z14" s="62">
        <f t="shared" si="5"/>
        <v>58</v>
      </c>
      <c r="AB14" s="62">
        <f>RANK(P14,$P$6:$P$30,1)+COUNTIF($P$6:P14,P14)-1</f>
        <v>21</v>
      </c>
      <c r="AC14" s="65" t="str">
        <f>INDEX(C6:P30,MATCH(17,AB6:AB30,0),1)</f>
        <v>łańcucki</v>
      </c>
      <c r="AD14" s="56">
        <f>INDEX(C6:P30,MATCH(17,AB6:AB30,0),14)</f>
        <v>13</v>
      </c>
      <c r="AE14" s="116"/>
      <c r="AF14" s="157">
        <f>RANK(Z14,$Z$6:$Z$30,1)+COUNTIF($Z$6:Z14,Z14)-1</f>
        <v>12</v>
      </c>
      <c r="AG14" s="65" t="str">
        <f>INDEX(C6:Z30,MATCH(17,AF6:AF30,0),1)</f>
        <v>rzeszowski</v>
      </c>
      <c r="AH14" s="56">
        <f>INDEX(C6:Z30,MATCH(17,AF6:AF30,0),24)</f>
        <v>149</v>
      </c>
      <c r="AI14" s="79"/>
    </row>
    <row r="15" spans="2:35" x14ac:dyDescent="0.2">
      <c r="B15" s="119">
        <v>10</v>
      </c>
      <c r="C15" s="82" t="s">
        <v>9</v>
      </c>
      <c r="D15" s="147">
        <v>302</v>
      </c>
      <c r="E15" s="148">
        <v>324</v>
      </c>
      <c r="F15" s="104">
        <f t="shared" si="0"/>
        <v>-22</v>
      </c>
      <c r="G15" s="73"/>
      <c r="H15" s="57">
        <v>86</v>
      </c>
      <c r="I15" s="56">
        <v>71</v>
      </c>
      <c r="J15" s="68">
        <f t="shared" si="1"/>
        <v>15</v>
      </c>
      <c r="K15" s="76"/>
      <c r="L15" s="57">
        <v>70</v>
      </c>
      <c r="M15" s="56">
        <v>73</v>
      </c>
      <c r="N15" s="68">
        <f t="shared" si="2"/>
        <v>-3</v>
      </c>
      <c r="O15" s="76"/>
      <c r="P15" s="62">
        <f t="shared" si="6"/>
        <v>-10</v>
      </c>
      <c r="Q15" s="78"/>
      <c r="R15" s="128">
        <v>1867</v>
      </c>
      <c r="S15" s="139">
        <v>1769</v>
      </c>
      <c r="T15" s="56">
        <f t="shared" si="3"/>
        <v>-98</v>
      </c>
      <c r="U15" s="50"/>
      <c r="V15" s="128">
        <v>1704</v>
      </c>
      <c r="W15" s="109">
        <v>1708</v>
      </c>
      <c r="X15" s="68">
        <f t="shared" si="4"/>
        <v>4</v>
      </c>
      <c r="Y15" s="79"/>
      <c r="Z15" s="62">
        <f t="shared" si="5"/>
        <v>-94</v>
      </c>
      <c r="AB15" s="62">
        <f>RANK(P15,$P$6:$P$30,1)+COUNTIF($P$6:P15,P15)-1</f>
        <v>12</v>
      </c>
      <c r="AC15" s="65" t="str">
        <f>INDEX(C6:P30,MATCH(16,AB6:AB30,0),1)</f>
        <v>rzeszowski</v>
      </c>
      <c r="AD15" s="56">
        <f>INDEX(C6:P30,MATCH(16,AB6:AB30,0),14)</f>
        <v>8</v>
      </c>
      <c r="AE15" s="116"/>
      <c r="AF15" s="62">
        <f>RANK(Z15,$Z$6:$Z$30,1)+COUNTIF($Z$6:Z15,Z15)-1</f>
        <v>2</v>
      </c>
      <c r="AG15" s="65" t="str">
        <f>INDEX(C6:Z30,MATCH(16,AF6:AF30,0),1)</f>
        <v>ropczycko-sędziszowski</v>
      </c>
      <c r="AH15" s="56">
        <f>INDEX(C6:Z30,MATCH(16,AF6:AF30,0),24)</f>
        <v>126</v>
      </c>
      <c r="AI15" s="79"/>
    </row>
    <row r="16" spans="2:35" x14ac:dyDescent="0.2">
      <c r="B16" s="119">
        <v>11</v>
      </c>
      <c r="C16" s="82" t="s">
        <v>10</v>
      </c>
      <c r="D16" s="147">
        <v>504</v>
      </c>
      <c r="E16" s="148">
        <v>480</v>
      </c>
      <c r="F16" s="104">
        <f t="shared" si="0"/>
        <v>24</v>
      </c>
      <c r="G16" s="73"/>
      <c r="H16" s="57">
        <v>107</v>
      </c>
      <c r="I16" s="56">
        <v>115</v>
      </c>
      <c r="J16" s="68">
        <f t="shared" si="1"/>
        <v>-8</v>
      </c>
      <c r="K16" s="76"/>
      <c r="L16" s="57">
        <v>76</v>
      </c>
      <c r="M16" s="56">
        <v>79</v>
      </c>
      <c r="N16" s="68">
        <f t="shared" si="2"/>
        <v>-3</v>
      </c>
      <c r="O16" s="76"/>
      <c r="P16" s="62">
        <f t="shared" si="6"/>
        <v>13</v>
      </c>
      <c r="Q16" s="78"/>
      <c r="R16" s="128">
        <v>2547</v>
      </c>
      <c r="S16" s="139">
        <v>2611</v>
      </c>
      <c r="T16" s="56">
        <f t="shared" si="3"/>
        <v>64</v>
      </c>
      <c r="U16" s="50"/>
      <c r="V16" s="128">
        <v>2519</v>
      </c>
      <c r="W16" s="109">
        <v>2552</v>
      </c>
      <c r="X16" s="68">
        <f t="shared" si="4"/>
        <v>33</v>
      </c>
      <c r="Y16" s="79"/>
      <c r="Z16" s="62">
        <f t="shared" si="5"/>
        <v>97</v>
      </c>
      <c r="AB16" s="62">
        <f>RANK(P16,$P$6:$P$30,1)+COUNTIF($P$6:P16,P16)-1</f>
        <v>17</v>
      </c>
      <c r="AC16" s="65" t="str">
        <f>INDEX(C6:P30,MATCH(15,AB6:AB30,0),1)</f>
        <v>brzozowski</v>
      </c>
      <c r="AD16" s="56">
        <f>INDEX(C6:P30,MATCH(15,AB6:AB30,0),14)</f>
        <v>-5</v>
      </c>
      <c r="AE16" s="116"/>
      <c r="AF16" s="62">
        <f>RANK(Z16,$Z$6:$Z$30,1)+COUNTIF($Z$6:Z16,Z16)-1</f>
        <v>13</v>
      </c>
      <c r="AG16" s="65" t="str">
        <f>INDEX(C6:Z30,MATCH(15,AF6:AF30,0),1)</f>
        <v>jasielski</v>
      </c>
      <c r="AH16" s="56">
        <f>INDEX(C6:Z30,MATCH(15,AF6:AF30,0),24)</f>
        <v>116</v>
      </c>
      <c r="AI16" s="79"/>
    </row>
    <row r="17" spans="2:35" x14ac:dyDescent="0.2">
      <c r="B17" s="119">
        <v>12</v>
      </c>
      <c r="C17" s="82" t="s">
        <v>11</v>
      </c>
      <c r="D17" s="147">
        <v>674</v>
      </c>
      <c r="E17" s="148">
        <v>750</v>
      </c>
      <c r="F17" s="104">
        <f t="shared" si="0"/>
        <v>-76</v>
      </c>
      <c r="G17" s="73"/>
      <c r="H17" s="57">
        <v>93</v>
      </c>
      <c r="I17" s="56">
        <v>131</v>
      </c>
      <c r="J17" s="68">
        <f t="shared" si="1"/>
        <v>-38</v>
      </c>
      <c r="K17" s="76"/>
      <c r="L17" s="57">
        <v>78</v>
      </c>
      <c r="M17" s="56">
        <v>109</v>
      </c>
      <c r="N17" s="68">
        <f t="shared" si="2"/>
        <v>-31</v>
      </c>
      <c r="O17" s="76"/>
      <c r="P17" s="62">
        <f>F17+J17+N17</f>
        <v>-145</v>
      </c>
      <c r="Q17" s="78"/>
      <c r="R17" s="128">
        <v>3017</v>
      </c>
      <c r="S17" s="139">
        <v>2948</v>
      </c>
      <c r="T17" s="56">
        <f t="shared" si="3"/>
        <v>-69</v>
      </c>
      <c r="U17" s="50"/>
      <c r="V17" s="128">
        <v>3075</v>
      </c>
      <c r="W17" s="109">
        <v>3166</v>
      </c>
      <c r="X17" s="68">
        <f t="shared" si="4"/>
        <v>91</v>
      </c>
      <c r="Y17" s="79"/>
      <c r="Z17" s="62">
        <f>SUM(T17+X17)</f>
        <v>22</v>
      </c>
      <c r="AB17" s="62">
        <f>RANK(P17,$P$6:$P$30,1)+COUNTIF($P$6:P17,P17)-1</f>
        <v>2</v>
      </c>
      <c r="AC17" s="65" t="str">
        <f>INDEX(C6:P30,MATCH(14,AB6:AB30,0),1)</f>
        <v>bieszczadzki</v>
      </c>
      <c r="AD17" s="56">
        <f>INDEX(C6:P30,MATCH(14,AB6:AB30,0),14)</f>
        <v>-5</v>
      </c>
      <c r="AE17" s="116"/>
      <c r="AF17" s="62">
        <f>RANK(Z17,$Z$6:$Z$30,1)+COUNTIF($Z$6:Z17,Z17)-1</f>
        <v>9</v>
      </c>
      <c r="AG17" s="65" t="str">
        <f>INDEX(C6:Z30,MATCH(14,AF6:AF30,0),1)</f>
        <v>Tarnobrzeg</v>
      </c>
      <c r="AH17" s="56">
        <f>INDEX(C6:Z30,MATCH(14,AF6:AF30,0),24)</f>
        <v>105</v>
      </c>
      <c r="AI17" s="79"/>
    </row>
    <row r="18" spans="2:35" x14ac:dyDescent="0.2">
      <c r="B18" s="119">
        <v>13</v>
      </c>
      <c r="C18" s="82" t="s">
        <v>12</v>
      </c>
      <c r="D18" s="147">
        <v>390</v>
      </c>
      <c r="E18" s="148">
        <v>379</v>
      </c>
      <c r="F18" s="104">
        <f t="shared" si="0"/>
        <v>11</v>
      </c>
      <c r="G18" s="73"/>
      <c r="H18" s="57">
        <v>93</v>
      </c>
      <c r="I18" s="56">
        <v>144</v>
      </c>
      <c r="J18" s="68">
        <f t="shared" si="1"/>
        <v>-51</v>
      </c>
      <c r="K18" s="76"/>
      <c r="L18" s="57">
        <v>92</v>
      </c>
      <c r="M18" s="56">
        <v>87</v>
      </c>
      <c r="N18" s="68">
        <f t="shared" si="2"/>
        <v>5</v>
      </c>
      <c r="O18" s="76"/>
      <c r="P18" s="62">
        <f t="shared" si="6"/>
        <v>-35</v>
      </c>
      <c r="Q18" s="78"/>
      <c r="R18" s="128">
        <v>3043</v>
      </c>
      <c r="S18" s="139">
        <v>2984</v>
      </c>
      <c r="T18" s="56">
        <f t="shared" si="3"/>
        <v>-59</v>
      </c>
      <c r="U18" s="50"/>
      <c r="V18" s="128">
        <v>2929</v>
      </c>
      <c r="W18" s="109">
        <v>2997</v>
      </c>
      <c r="X18" s="68">
        <f t="shared" si="4"/>
        <v>68</v>
      </c>
      <c r="Y18" s="79"/>
      <c r="Z18" s="62">
        <f t="shared" si="5"/>
        <v>9</v>
      </c>
      <c r="AB18" s="62">
        <f>RANK(P18,$P$6:$P$30,1)+COUNTIF($P$6:P18,P18)-1</f>
        <v>7</v>
      </c>
      <c r="AC18" s="65" t="str">
        <f>INDEX(C6:P30,MATCH(13,AB6:AB30,0),1)</f>
        <v>Krosno</v>
      </c>
      <c r="AD18" s="56">
        <f>INDEX(C6:P30,MATCH(13,AB6:AB30,0),14)</f>
        <v>-9</v>
      </c>
      <c r="AE18" s="116"/>
      <c r="AF18" s="62">
        <f>RANK(Z18,$Z$6:$Z$30,1)+COUNTIF($Z$6:Z18,Z18)-1</f>
        <v>8</v>
      </c>
      <c r="AG18" s="65" t="str">
        <f>INDEX(C6:Z30,MATCH(13,AF6:AF30,0),1)</f>
        <v>łańcucki</v>
      </c>
      <c r="AH18" s="56">
        <f>INDEX(C6:Z30,MATCH(13,AF6:AF30,0),24)</f>
        <v>97</v>
      </c>
      <c r="AI18" s="79"/>
    </row>
    <row r="19" spans="2:35" x14ac:dyDescent="0.2">
      <c r="B19" s="119">
        <v>14</v>
      </c>
      <c r="C19" s="82" t="s">
        <v>13</v>
      </c>
      <c r="D19" s="147">
        <v>391</v>
      </c>
      <c r="E19" s="148">
        <v>364</v>
      </c>
      <c r="F19" s="104">
        <f t="shared" si="0"/>
        <v>27</v>
      </c>
      <c r="G19" s="73"/>
      <c r="H19" s="57">
        <v>117</v>
      </c>
      <c r="I19" s="56">
        <v>152</v>
      </c>
      <c r="J19" s="68">
        <f t="shared" si="1"/>
        <v>-35</v>
      </c>
      <c r="K19" s="76"/>
      <c r="L19" s="57">
        <v>28</v>
      </c>
      <c r="M19" s="56">
        <v>37</v>
      </c>
      <c r="N19" s="68">
        <f t="shared" si="2"/>
        <v>-9</v>
      </c>
      <c r="O19" s="76"/>
      <c r="P19" s="62">
        <f t="shared" si="6"/>
        <v>-17</v>
      </c>
      <c r="Q19" s="78"/>
      <c r="R19" s="128">
        <v>2963</v>
      </c>
      <c r="S19" s="139">
        <v>2935</v>
      </c>
      <c r="T19" s="56">
        <f t="shared" si="3"/>
        <v>-28</v>
      </c>
      <c r="U19" s="50"/>
      <c r="V19" s="128">
        <v>2958</v>
      </c>
      <c r="W19" s="109">
        <v>2930</v>
      </c>
      <c r="X19" s="68">
        <f t="shared" si="4"/>
        <v>-28</v>
      </c>
      <c r="Y19" s="79"/>
      <c r="Z19" s="62">
        <f t="shared" si="5"/>
        <v>-56</v>
      </c>
      <c r="AB19" s="62">
        <f>RANK(P19,$P$6:$P$30,1)+COUNTIF($P$6:P19,P19)-1</f>
        <v>10</v>
      </c>
      <c r="AC19" s="65" t="str">
        <f>INDEX(C6:P30,MATCH(12,AB6:AB30,0),1)</f>
        <v>lubaczowski</v>
      </c>
      <c r="AD19" s="56">
        <f>INDEX(C6:P30,MATCH(12,AB6:AB30,0),14)</f>
        <v>-10</v>
      </c>
      <c r="AE19" s="116"/>
      <c r="AF19" s="62">
        <f>RANK(Z19,$Z$6:$Z$30,1)+COUNTIF($Z$6:Z19,Z19)-1</f>
        <v>4</v>
      </c>
      <c r="AG19" s="65" t="str">
        <f>INDEX(C6:Z30,MATCH(12,AF6:AF30,0),1)</f>
        <v>leżajski</v>
      </c>
      <c r="AH19" s="56">
        <f>INDEX(C6:Z30,MATCH(12,AF6:AF30,0),24)</f>
        <v>58</v>
      </c>
      <c r="AI19" s="79"/>
    </row>
    <row r="20" spans="2:35" x14ac:dyDescent="0.2">
      <c r="B20" s="119">
        <v>15</v>
      </c>
      <c r="C20" s="82" t="s">
        <v>14</v>
      </c>
      <c r="D20" s="147">
        <v>472</v>
      </c>
      <c r="E20" s="148">
        <v>559</v>
      </c>
      <c r="F20" s="104">
        <f t="shared" si="0"/>
        <v>-87</v>
      </c>
      <c r="G20" s="73"/>
      <c r="H20" s="57">
        <v>142</v>
      </c>
      <c r="I20" s="56">
        <v>278</v>
      </c>
      <c r="J20" s="68">
        <f t="shared" si="1"/>
        <v>-136</v>
      </c>
      <c r="K20" s="76"/>
      <c r="L20" s="57">
        <v>146</v>
      </c>
      <c r="M20" s="56">
        <v>194</v>
      </c>
      <c r="N20" s="68">
        <f t="shared" si="2"/>
        <v>-48</v>
      </c>
      <c r="O20" s="76"/>
      <c r="P20" s="62">
        <f>F20+J20+N20</f>
        <v>-271</v>
      </c>
      <c r="Q20" s="78"/>
      <c r="R20" s="128">
        <v>3397</v>
      </c>
      <c r="S20" s="139">
        <v>3199</v>
      </c>
      <c r="T20" s="56">
        <f t="shared" si="3"/>
        <v>-198</v>
      </c>
      <c r="U20" s="50"/>
      <c r="V20" s="128">
        <v>3337</v>
      </c>
      <c r="W20" s="109">
        <v>3391</v>
      </c>
      <c r="X20" s="68">
        <f t="shared" si="4"/>
        <v>54</v>
      </c>
      <c r="Y20" s="79"/>
      <c r="Z20" s="62">
        <f t="shared" si="5"/>
        <v>-144</v>
      </c>
      <c r="AB20" s="62">
        <f>RANK(P20,$P$6:$P$30,1)+COUNTIF($P$6:P20,P20)-1</f>
        <v>1</v>
      </c>
      <c r="AC20" s="65" t="str">
        <f>INDEX(C6:P30,MATCH(11,AB6:AB30,0),1)</f>
        <v>Rzeszów</v>
      </c>
      <c r="AD20" s="56">
        <f>INDEX(C6:P30,MATCH(11,AB6:AB30,0),14)</f>
        <v>-11</v>
      </c>
      <c r="AE20" s="116"/>
      <c r="AF20" s="62">
        <f>RANK(Z20,$Z$6:$Z$30,1)+COUNTIF($Z$6:Z20,Z20)-1</f>
        <v>1</v>
      </c>
      <c r="AG20" s="65" t="str">
        <f>INDEX(C6:Z30,MATCH(11,AF6:AF30,0),1)</f>
        <v>tarnobrzeski</v>
      </c>
      <c r="AH20" s="56">
        <f>INDEX(C6:Z30,MATCH(11,AF6:AF30,0),24)</f>
        <v>57</v>
      </c>
      <c r="AI20" s="79"/>
    </row>
    <row r="21" spans="2:35" ht="12" customHeight="1" x14ac:dyDescent="0.2">
      <c r="B21" s="119">
        <v>16</v>
      </c>
      <c r="C21" s="82" t="s">
        <v>15</v>
      </c>
      <c r="D21" s="147">
        <v>499</v>
      </c>
      <c r="E21" s="148">
        <v>421</v>
      </c>
      <c r="F21" s="104">
        <f t="shared" si="0"/>
        <v>78</v>
      </c>
      <c r="G21" s="73"/>
      <c r="H21" s="57">
        <v>47</v>
      </c>
      <c r="I21" s="56">
        <v>92</v>
      </c>
      <c r="J21" s="68">
        <f t="shared" si="1"/>
        <v>-45</v>
      </c>
      <c r="K21" s="76"/>
      <c r="L21" s="57">
        <v>55</v>
      </c>
      <c r="M21" s="56">
        <v>58</v>
      </c>
      <c r="N21" s="68">
        <f t="shared" si="2"/>
        <v>-3</v>
      </c>
      <c r="O21" s="76"/>
      <c r="P21" s="62">
        <f t="shared" si="6"/>
        <v>30</v>
      </c>
      <c r="Q21" s="78"/>
      <c r="R21" s="128">
        <v>2551</v>
      </c>
      <c r="S21" s="139">
        <v>2609</v>
      </c>
      <c r="T21" s="56">
        <f t="shared" si="3"/>
        <v>58</v>
      </c>
      <c r="U21" s="50"/>
      <c r="V21" s="128">
        <v>2673</v>
      </c>
      <c r="W21" s="109">
        <v>2741</v>
      </c>
      <c r="X21" s="68">
        <f t="shared" si="4"/>
        <v>68</v>
      </c>
      <c r="Y21" s="79"/>
      <c r="Z21" s="62">
        <f t="shared" si="5"/>
        <v>126</v>
      </c>
      <c r="AB21" s="62">
        <f>RANK(P21,$P$6:$P$30,1)+COUNTIF($P$6:P21,P21)-1</f>
        <v>20</v>
      </c>
      <c r="AC21" s="65" t="str">
        <f>INDEX(C6:P30,MATCH(10,AB6:AB30,0),1)</f>
        <v>przemyski</v>
      </c>
      <c r="AD21" s="56">
        <f>INDEX(C6:P30,MATCH(10,AB6:AB30,0),14)</f>
        <v>-17</v>
      </c>
      <c r="AE21" s="116"/>
      <c r="AF21" s="62">
        <f>RANK(Z21,$Z$6:$Z$30,1)+COUNTIF($Z$6:Z21,Z21)-1</f>
        <v>16</v>
      </c>
      <c r="AG21" s="65" t="str">
        <f>INDEX(C6:Z30,MATCH(10,AF6:AF30,0),1)</f>
        <v>Przemyśl</v>
      </c>
      <c r="AH21" s="56">
        <f>INDEX(C6:Z30,MATCH(10,AF6:AF30,0),24)</f>
        <v>28</v>
      </c>
      <c r="AI21" s="79"/>
    </row>
    <row r="22" spans="2:35" x14ac:dyDescent="0.2">
      <c r="B22" s="119">
        <v>17</v>
      </c>
      <c r="C22" s="82" t="s">
        <v>16</v>
      </c>
      <c r="D22" s="147">
        <v>775</v>
      </c>
      <c r="E22" s="148">
        <v>826</v>
      </c>
      <c r="F22" s="104">
        <f t="shared" si="0"/>
        <v>-51</v>
      </c>
      <c r="G22" s="73"/>
      <c r="H22" s="57">
        <v>103</v>
      </c>
      <c r="I22" s="56">
        <v>79</v>
      </c>
      <c r="J22" s="68">
        <f t="shared" si="1"/>
        <v>24</v>
      </c>
      <c r="K22" s="76"/>
      <c r="L22" s="57">
        <v>80</v>
      </c>
      <c r="M22" s="56">
        <v>45</v>
      </c>
      <c r="N22" s="68">
        <f t="shared" si="2"/>
        <v>35</v>
      </c>
      <c r="O22" s="76"/>
      <c r="P22" s="62">
        <f t="shared" si="6"/>
        <v>8</v>
      </c>
      <c r="Q22" s="78"/>
      <c r="R22" s="128">
        <v>4670</v>
      </c>
      <c r="S22" s="139">
        <v>4709</v>
      </c>
      <c r="T22" s="56">
        <f t="shared" si="3"/>
        <v>39</v>
      </c>
      <c r="U22" s="50"/>
      <c r="V22" s="128">
        <v>4540</v>
      </c>
      <c r="W22" s="109">
        <v>4650</v>
      </c>
      <c r="X22" s="68">
        <f t="shared" si="4"/>
        <v>110</v>
      </c>
      <c r="Y22" s="79"/>
      <c r="Z22" s="62">
        <f t="shared" si="5"/>
        <v>149</v>
      </c>
      <c r="AB22" s="62">
        <f>RANK(P22,$P$6:$P$30,1)+COUNTIF($P$6:P22,P22)-1</f>
        <v>16</v>
      </c>
      <c r="AC22" s="65" t="str">
        <f>INDEX(C6:P30,MATCH(9,AB6:AB30,0),1)</f>
        <v>dębicki</v>
      </c>
      <c r="AD22" s="56">
        <f>INDEX(C6:P30,MATCH(9,AB6:AB30,0),14)</f>
        <v>-25</v>
      </c>
      <c r="AE22" s="116"/>
      <c r="AF22" s="62">
        <f>RANK(Z22,$Z$6:$Z$30,1)+COUNTIF($Z$6:Z22,Z22)-1</f>
        <v>17</v>
      </c>
      <c r="AG22" s="158" t="str">
        <f>INDEX(C6:Z30,MATCH(9,AF6:AF30,0),1)</f>
        <v>mielecki</v>
      </c>
      <c r="AH22" s="56">
        <f>INDEX(C6:Z30,MATCH(9,AF6:AF30,0),24)</f>
        <v>22</v>
      </c>
      <c r="AI22" s="79"/>
    </row>
    <row r="23" spans="2:35" x14ac:dyDescent="0.2">
      <c r="B23" s="119">
        <v>18</v>
      </c>
      <c r="C23" s="82" t="s">
        <v>17</v>
      </c>
      <c r="D23" s="147">
        <v>496</v>
      </c>
      <c r="E23" s="148">
        <v>466</v>
      </c>
      <c r="F23" s="104">
        <f t="shared" si="0"/>
        <v>30</v>
      </c>
      <c r="G23" s="73"/>
      <c r="H23" s="57">
        <v>52</v>
      </c>
      <c r="I23" s="56">
        <v>53</v>
      </c>
      <c r="J23" s="68">
        <f t="shared" si="1"/>
        <v>-1</v>
      </c>
      <c r="K23" s="76"/>
      <c r="L23" s="57">
        <v>21</v>
      </c>
      <c r="M23" s="56">
        <v>28</v>
      </c>
      <c r="N23" s="68">
        <f t="shared" si="2"/>
        <v>-7</v>
      </c>
      <c r="O23" s="76"/>
      <c r="P23" s="62">
        <f t="shared" si="6"/>
        <v>22</v>
      </c>
      <c r="Q23" s="78"/>
      <c r="R23" s="128">
        <v>2737</v>
      </c>
      <c r="S23" s="139">
        <v>2883</v>
      </c>
      <c r="T23" s="56">
        <f t="shared" si="3"/>
        <v>146</v>
      </c>
      <c r="U23" s="50"/>
      <c r="V23" s="128">
        <v>2881</v>
      </c>
      <c r="W23" s="109">
        <v>3097</v>
      </c>
      <c r="X23" s="68">
        <f t="shared" si="4"/>
        <v>216</v>
      </c>
      <c r="Y23" s="79"/>
      <c r="Z23" s="62">
        <f t="shared" si="5"/>
        <v>362</v>
      </c>
      <c r="AB23" s="62">
        <f>RANK(P23,$P$6:$P$30,1)+COUNTIF($P$6:P23,P23)-1</f>
        <v>19</v>
      </c>
      <c r="AC23" s="65" t="str">
        <f>INDEX(C6:P30,MATCH(8,AB6:AB30,0),1)</f>
        <v>Przemyśl</v>
      </c>
      <c r="AD23" s="56">
        <f>INDEX(C6:P30,MATCH(8,AB6:AB30,0),14)</f>
        <v>-29</v>
      </c>
      <c r="AE23" s="116"/>
      <c r="AF23" s="62">
        <f>RANK(Z23,$Z$6:$Z$30,1)+COUNTIF($Z$6:Z23,Z23)-1</f>
        <v>25</v>
      </c>
      <c r="AG23" s="65" t="str">
        <f>INDEX(C6:Z30,MATCH(8,AF6:AF30,0),1)</f>
        <v>niżański</v>
      </c>
      <c r="AH23" s="56">
        <f>INDEX(C6:Z30,MATCH(8,AF6:AF30,0),24)</f>
        <v>9</v>
      </c>
      <c r="AI23" s="79"/>
    </row>
    <row r="24" spans="2:35" x14ac:dyDescent="0.2">
      <c r="B24" s="119">
        <v>19</v>
      </c>
      <c r="C24" s="82" t="s">
        <v>18</v>
      </c>
      <c r="D24" s="147">
        <v>399</v>
      </c>
      <c r="E24" s="148">
        <v>438</v>
      </c>
      <c r="F24" s="104">
        <f t="shared" si="0"/>
        <v>-39</v>
      </c>
      <c r="G24" s="73"/>
      <c r="H24" s="57">
        <v>55</v>
      </c>
      <c r="I24" s="56">
        <v>76</v>
      </c>
      <c r="J24" s="68">
        <f t="shared" si="1"/>
        <v>-21</v>
      </c>
      <c r="K24" s="76"/>
      <c r="L24" s="57">
        <v>91</v>
      </c>
      <c r="M24" s="56">
        <v>69</v>
      </c>
      <c r="N24" s="68">
        <f>L24-M24</f>
        <v>22</v>
      </c>
      <c r="O24" s="76"/>
      <c r="P24" s="62">
        <f t="shared" si="6"/>
        <v>-38</v>
      </c>
      <c r="Q24" s="78"/>
      <c r="R24" s="128">
        <v>1943</v>
      </c>
      <c r="S24" s="139">
        <v>2023</v>
      </c>
      <c r="T24" s="56">
        <f t="shared" si="3"/>
        <v>80</v>
      </c>
      <c r="U24" s="50"/>
      <c r="V24" s="128">
        <v>2098</v>
      </c>
      <c r="W24" s="109">
        <v>2304</v>
      </c>
      <c r="X24" s="68">
        <f t="shared" si="4"/>
        <v>206</v>
      </c>
      <c r="Y24" s="79"/>
      <c r="Z24" s="62">
        <f t="shared" si="5"/>
        <v>286</v>
      </c>
      <c r="AB24" s="62">
        <f>RANK(P24,$P$6:$P$30,1)+COUNTIF($P$6:P24,P24)-1</f>
        <v>6</v>
      </c>
      <c r="AC24" s="65" t="str">
        <f>INDEX(C6:P30,MATCH(7,AB6:AB30,0),1)</f>
        <v>niżański</v>
      </c>
      <c r="AD24" s="56">
        <f>INDEX(C6:P30,MATCH(7,AB6:AB30,0),14)</f>
        <v>-35</v>
      </c>
      <c r="AE24" s="116"/>
      <c r="AF24" s="62">
        <f>RANK(Z24,$Z$6:$Z$30,1)+COUNTIF($Z$6:Z24,Z24)-1</f>
        <v>22</v>
      </c>
      <c r="AG24" s="65" t="str">
        <f>INDEX(C6:Z30,MATCH(7,AF6:AF30,0),1)</f>
        <v>strzyżowski</v>
      </c>
      <c r="AH24" s="56">
        <f>INDEX(C6:Z30,MATCH(7,AF6:AF30,0),24)</f>
        <v>-4</v>
      </c>
      <c r="AI24" s="79"/>
    </row>
    <row r="25" spans="2:35" x14ac:dyDescent="0.2">
      <c r="B25" s="119">
        <v>20</v>
      </c>
      <c r="C25" s="82" t="s">
        <v>19</v>
      </c>
      <c r="D25" s="147">
        <v>406</v>
      </c>
      <c r="E25" s="148">
        <v>538</v>
      </c>
      <c r="F25" s="104">
        <f t="shared" si="0"/>
        <v>-132</v>
      </c>
      <c r="G25" s="73"/>
      <c r="H25" s="57">
        <v>154</v>
      </c>
      <c r="I25" s="56">
        <v>121</v>
      </c>
      <c r="J25" s="68">
        <f t="shared" si="1"/>
        <v>33</v>
      </c>
      <c r="K25" s="76"/>
      <c r="L25" s="57">
        <v>187</v>
      </c>
      <c r="M25" s="56">
        <v>134</v>
      </c>
      <c r="N25" s="68">
        <f t="shared" si="2"/>
        <v>53</v>
      </c>
      <c r="O25" s="76"/>
      <c r="P25" s="62">
        <f t="shared" si="6"/>
        <v>-46</v>
      </c>
      <c r="Q25" s="78"/>
      <c r="R25" s="128">
        <v>3125</v>
      </c>
      <c r="S25" s="139">
        <v>3133</v>
      </c>
      <c r="T25" s="56">
        <f t="shared" si="3"/>
        <v>8</v>
      </c>
      <c r="U25" s="50"/>
      <c r="V25" s="128">
        <v>3113</v>
      </c>
      <c r="W25" s="109">
        <v>3101</v>
      </c>
      <c r="X25" s="68">
        <f t="shared" si="4"/>
        <v>-12</v>
      </c>
      <c r="Y25" s="79"/>
      <c r="Z25" s="62">
        <f t="shared" si="5"/>
        <v>-4</v>
      </c>
      <c r="AB25" s="62">
        <f>RANK(P25,$P$6:$P$30,1)+COUNTIF($P$6:P25,P25)-1</f>
        <v>5</v>
      </c>
      <c r="AC25" s="65" t="str">
        <f>INDEX(C6:P30,MATCH(6,AB6:AB30,0),1)</f>
        <v>stalowowolski</v>
      </c>
      <c r="AD25" s="56">
        <f>INDEX(C6:P30,MATCH(6,AB6:AB30,0),14)</f>
        <v>-38</v>
      </c>
      <c r="AE25" s="116"/>
      <c r="AF25" s="62">
        <f>RANK(Z25,$Z$6:$Z$30,1)+COUNTIF($Z$6:Z25,Z25)-1</f>
        <v>7</v>
      </c>
      <c r="AG25" s="65" t="str">
        <f>INDEX(C6:Z30,MATCH(6,AF6:AF30,0),1)</f>
        <v>leski</v>
      </c>
      <c r="AH25" s="56">
        <f>INDEX(C6:Z30,MATCH(6,AF6:AF30,0),24)</f>
        <v>-8</v>
      </c>
      <c r="AI25" s="79"/>
    </row>
    <row r="26" spans="2:35" ht="12" thickBot="1" x14ac:dyDescent="0.25">
      <c r="B26" s="119">
        <v>21</v>
      </c>
      <c r="C26" s="83" t="s">
        <v>51</v>
      </c>
      <c r="D26" s="149">
        <v>266</v>
      </c>
      <c r="E26" s="150">
        <v>230</v>
      </c>
      <c r="F26" s="105">
        <f t="shared" si="0"/>
        <v>36</v>
      </c>
      <c r="G26" s="73"/>
      <c r="H26" s="60">
        <v>96</v>
      </c>
      <c r="I26" s="58">
        <v>114</v>
      </c>
      <c r="J26" s="70">
        <f t="shared" si="1"/>
        <v>-18</v>
      </c>
      <c r="K26" s="76"/>
      <c r="L26" s="60">
        <v>35</v>
      </c>
      <c r="M26" s="58">
        <v>40</v>
      </c>
      <c r="N26" s="70">
        <f t="shared" si="2"/>
        <v>-5</v>
      </c>
      <c r="O26" s="76"/>
      <c r="P26" s="86">
        <f t="shared" si="6"/>
        <v>13</v>
      </c>
      <c r="Q26" s="78"/>
      <c r="R26" s="129">
        <v>1251</v>
      </c>
      <c r="S26" s="140">
        <v>1298</v>
      </c>
      <c r="T26" s="59">
        <f t="shared" si="3"/>
        <v>47</v>
      </c>
      <c r="U26" s="50"/>
      <c r="V26" s="129">
        <v>1243</v>
      </c>
      <c r="W26" s="111">
        <v>1253</v>
      </c>
      <c r="X26" s="69">
        <f t="shared" si="4"/>
        <v>10</v>
      </c>
      <c r="Y26" s="79"/>
      <c r="Z26" s="86">
        <f t="shared" si="5"/>
        <v>57</v>
      </c>
      <c r="AB26" s="114">
        <f>RANK(P26,$P$6:$P$30,1)+COUNTIF($P$6:P26,P26)-1</f>
        <v>18</v>
      </c>
      <c r="AC26" s="87" t="str">
        <f>INDEX(C6:P30,MATCH(5,AB6:AB30,0),1)</f>
        <v>strzyżowski</v>
      </c>
      <c r="AD26" s="59">
        <f>INDEX(C6:P30,MATCH(5,AB6:AB30,0),14)</f>
        <v>-46</v>
      </c>
      <c r="AE26" s="116"/>
      <c r="AF26" s="114">
        <f>RANK(Z26,$Z$6:$Z$30,1)+COUNTIF($Z$6:Z26,Z26)-1</f>
        <v>11</v>
      </c>
      <c r="AG26" s="162" t="str">
        <f>INDEX(C6:Z30,MATCH(5,AF6:AF30,0),1)</f>
        <v>bieszczadzki</v>
      </c>
      <c r="AH26" s="163">
        <f>INDEX(C6:Z30,MATCH(5,AF6:AF30,0),24)</f>
        <v>-38</v>
      </c>
      <c r="AI26" s="79"/>
    </row>
    <row r="27" spans="2:35" x14ac:dyDescent="0.2">
      <c r="B27" s="119">
        <v>22</v>
      </c>
      <c r="C27" s="84" t="s">
        <v>21</v>
      </c>
      <c r="D27" s="147">
        <v>168</v>
      </c>
      <c r="E27" s="151">
        <v>159</v>
      </c>
      <c r="F27" s="106">
        <f t="shared" si="0"/>
        <v>9</v>
      </c>
      <c r="G27" s="74"/>
      <c r="H27" s="57">
        <v>20</v>
      </c>
      <c r="I27" s="56">
        <v>39</v>
      </c>
      <c r="J27" s="68">
        <f t="shared" si="1"/>
        <v>-19</v>
      </c>
      <c r="K27" s="76"/>
      <c r="L27" s="57">
        <v>22</v>
      </c>
      <c r="M27" s="56">
        <v>21</v>
      </c>
      <c r="N27" s="68">
        <f t="shared" si="2"/>
        <v>1</v>
      </c>
      <c r="O27" s="76"/>
      <c r="P27" s="62">
        <f t="shared" si="6"/>
        <v>-9</v>
      </c>
      <c r="Q27" s="78"/>
      <c r="R27" s="128">
        <v>790</v>
      </c>
      <c r="S27" s="56">
        <v>875</v>
      </c>
      <c r="T27" s="54">
        <f t="shared" si="3"/>
        <v>85</v>
      </c>
      <c r="U27" s="50"/>
      <c r="V27" s="128">
        <v>814</v>
      </c>
      <c r="W27" s="109">
        <v>882</v>
      </c>
      <c r="X27" s="108">
        <f t="shared" si="4"/>
        <v>68</v>
      </c>
      <c r="Y27" s="78"/>
      <c r="Z27" s="62">
        <f t="shared" si="5"/>
        <v>153</v>
      </c>
      <c r="AB27" s="61">
        <f>RANK(P27,$P$6:$P$30,1)+COUNTIF($P$6:P27,P27)-1</f>
        <v>13</v>
      </c>
      <c r="AC27" s="64" t="str">
        <f>INDEX(C6:P30,MATCH(4,AB6:AB30,0),1)</f>
        <v>jasielski</v>
      </c>
      <c r="AD27" s="54">
        <f>INDEX(C6:P30,MATCH(4,AB6:AB30,0),14)</f>
        <v>-46</v>
      </c>
      <c r="AE27" s="116"/>
      <c r="AF27" s="61">
        <f>RANK(Z27,$Z$6:$Z$30,1)+COUNTIF($Z$6:Z27,Z27)-1</f>
        <v>18</v>
      </c>
      <c r="AG27" s="64" t="str">
        <f>INDEX(C6:Z30,MATCH(4,AF6:AF30,0),1)</f>
        <v>przemyski</v>
      </c>
      <c r="AH27" s="54">
        <f>INDEX(C6:Z30,MATCH(4,AF6:AF30,0),24)</f>
        <v>-56</v>
      </c>
      <c r="AI27" s="79"/>
    </row>
    <row r="28" spans="2:35" x14ac:dyDescent="0.2">
      <c r="B28" s="119">
        <v>23</v>
      </c>
      <c r="C28" s="84" t="s">
        <v>22</v>
      </c>
      <c r="D28" s="147">
        <v>265</v>
      </c>
      <c r="E28" s="151">
        <v>260</v>
      </c>
      <c r="F28" s="106">
        <f t="shared" si="0"/>
        <v>5</v>
      </c>
      <c r="G28" s="74"/>
      <c r="H28" s="57">
        <v>90</v>
      </c>
      <c r="I28" s="56">
        <v>127</v>
      </c>
      <c r="J28" s="68">
        <f t="shared" si="1"/>
        <v>-37</v>
      </c>
      <c r="K28" s="76"/>
      <c r="L28" s="57">
        <v>23</v>
      </c>
      <c r="M28" s="56">
        <v>20</v>
      </c>
      <c r="N28" s="68">
        <f t="shared" si="2"/>
        <v>3</v>
      </c>
      <c r="O28" s="76"/>
      <c r="P28" s="62">
        <f t="shared" si="6"/>
        <v>-29</v>
      </c>
      <c r="Q28" s="78"/>
      <c r="R28" s="128">
        <v>2346</v>
      </c>
      <c r="S28" s="139">
        <v>2357</v>
      </c>
      <c r="T28" s="56">
        <f t="shared" si="3"/>
        <v>11</v>
      </c>
      <c r="U28" s="50"/>
      <c r="V28" s="128">
        <v>2338</v>
      </c>
      <c r="W28" s="109">
        <v>2355</v>
      </c>
      <c r="X28" s="68">
        <f t="shared" si="4"/>
        <v>17</v>
      </c>
      <c r="Y28" s="79"/>
      <c r="Z28" s="62">
        <f t="shared" si="5"/>
        <v>28</v>
      </c>
      <c r="AB28" s="62">
        <f>RANK(P28,$P$6:$P$30,1)+COUNTIF($P$6:P28,P28)-1</f>
        <v>8</v>
      </c>
      <c r="AC28" s="65" t="str">
        <f>INDEX(C6:P30,MATCH(3,AB6:AB30,0),1)</f>
        <v>Tarnobrzeg</v>
      </c>
      <c r="AD28" s="56">
        <f>INDEX(C6:P30,MATCH(3,AB6:AB30,0),14)</f>
        <v>-48</v>
      </c>
      <c r="AE28" s="116"/>
      <c r="AF28" s="62">
        <f>RANK(Z28,$Z$6:$Z$30,1)+COUNTIF($Z$6:Z28,Z28)-1</f>
        <v>10</v>
      </c>
      <c r="AG28" s="65" t="str">
        <f>INDEX(C6:Z30,MATCH(3,AF6:AF30,0),1)</f>
        <v>brzozowski</v>
      </c>
      <c r="AH28" s="56">
        <f>INDEX(C6:Z30,MATCH(3,AF6:AF30,0),24)</f>
        <v>-77</v>
      </c>
      <c r="AI28" s="79"/>
    </row>
    <row r="29" spans="2:35" x14ac:dyDescent="0.2">
      <c r="B29" s="119">
        <v>24</v>
      </c>
      <c r="C29" s="84" t="s">
        <v>23</v>
      </c>
      <c r="D29" s="147">
        <v>840</v>
      </c>
      <c r="E29" s="151">
        <v>876</v>
      </c>
      <c r="F29" s="106">
        <f t="shared" si="0"/>
        <v>-36</v>
      </c>
      <c r="G29" s="74"/>
      <c r="H29" s="57">
        <v>68</v>
      </c>
      <c r="I29" s="56">
        <v>72</v>
      </c>
      <c r="J29" s="68">
        <f t="shared" si="1"/>
        <v>-4</v>
      </c>
      <c r="K29" s="76"/>
      <c r="L29" s="57">
        <v>86</v>
      </c>
      <c r="M29" s="56">
        <v>57</v>
      </c>
      <c r="N29" s="68">
        <f t="shared" si="2"/>
        <v>29</v>
      </c>
      <c r="O29" s="76"/>
      <c r="P29" s="62">
        <f t="shared" si="6"/>
        <v>-11</v>
      </c>
      <c r="Q29" s="78"/>
      <c r="R29" s="128">
        <v>5033</v>
      </c>
      <c r="S29" s="139">
        <v>5114</v>
      </c>
      <c r="T29" s="56">
        <f t="shared" si="3"/>
        <v>81</v>
      </c>
      <c r="U29" s="50"/>
      <c r="V29" s="128">
        <v>4957</v>
      </c>
      <c r="W29" s="109">
        <v>5127</v>
      </c>
      <c r="X29" s="68">
        <f t="shared" si="4"/>
        <v>170</v>
      </c>
      <c r="Y29" s="79"/>
      <c r="Z29" s="62">
        <f t="shared" si="5"/>
        <v>251</v>
      </c>
      <c r="AB29" s="62">
        <f>RANK(P29,$P$6:$P$30,1)+COUNTIF($P$6:P29,P29)-1</f>
        <v>11</v>
      </c>
      <c r="AC29" s="160" t="str">
        <f>INDEX(C6:P30,MATCH(2,AB6:AB30,0),1)</f>
        <v>mielecki</v>
      </c>
      <c r="AD29" s="164">
        <f>INDEX(C6:P30,MATCH(2,AB6:AB30,0),14)</f>
        <v>-145</v>
      </c>
      <c r="AE29" s="116"/>
      <c r="AF29" s="62">
        <f>RANK(Z29,$Z$6:$Z$30,1)+COUNTIF($Z$6:Z29,Z29)-1</f>
        <v>21</v>
      </c>
      <c r="AG29" s="65" t="str">
        <f>INDEX(C6:Z30,MATCH(2,AF6:AF30,0),1)</f>
        <v>lubaczowski</v>
      </c>
      <c r="AH29" s="56">
        <f>INDEX(C6:Z30,MATCH(2,AF6:AF30,0),24)</f>
        <v>-94</v>
      </c>
      <c r="AI29" s="79"/>
    </row>
    <row r="30" spans="2:35" ht="12" thickBot="1" x14ac:dyDescent="0.25">
      <c r="B30" s="119">
        <v>25</v>
      </c>
      <c r="C30" s="85" t="s">
        <v>24</v>
      </c>
      <c r="D30" s="149">
        <v>170</v>
      </c>
      <c r="E30" s="152">
        <v>197</v>
      </c>
      <c r="F30" s="107">
        <f t="shared" si="0"/>
        <v>-27</v>
      </c>
      <c r="G30" s="74"/>
      <c r="H30" s="60">
        <v>55</v>
      </c>
      <c r="I30" s="58">
        <v>58</v>
      </c>
      <c r="J30" s="70">
        <f t="shared" si="1"/>
        <v>-3</v>
      </c>
      <c r="K30" s="76"/>
      <c r="L30" s="60">
        <v>38</v>
      </c>
      <c r="M30" s="58">
        <v>56</v>
      </c>
      <c r="N30" s="70">
        <f t="shared" si="2"/>
        <v>-18</v>
      </c>
      <c r="O30" s="76"/>
      <c r="P30" s="86">
        <f t="shared" si="6"/>
        <v>-48</v>
      </c>
      <c r="Q30" s="78"/>
      <c r="R30" s="129">
        <v>1065</v>
      </c>
      <c r="S30" s="140">
        <v>1121</v>
      </c>
      <c r="T30" s="58">
        <f t="shared" si="3"/>
        <v>56</v>
      </c>
      <c r="U30" s="50"/>
      <c r="V30" s="129">
        <v>999</v>
      </c>
      <c r="W30" s="111">
        <v>1048</v>
      </c>
      <c r="X30" s="70">
        <f t="shared" si="4"/>
        <v>49</v>
      </c>
      <c r="Y30" s="79"/>
      <c r="Z30" s="86">
        <f t="shared" si="5"/>
        <v>105</v>
      </c>
      <c r="AB30" s="86">
        <f>RANK(P30,$P$6:$P$30,1)+COUNTIF($P$6:P30,P30)-1</f>
        <v>3</v>
      </c>
      <c r="AC30" s="159" t="str">
        <f>INDEX(C6:P30,MATCH(1,AB6:AB30,0),1)</f>
        <v>przeworski</v>
      </c>
      <c r="AD30" s="58">
        <f>INDEX(C6:P30,MATCH(1,AB6:AB30,0),14)</f>
        <v>-271</v>
      </c>
      <c r="AE30" s="116"/>
      <c r="AF30" s="86">
        <f>RANK(Z30,$Z$6:$Z$30,1)+COUNTIF($Z$6:Z30,Z30)-1</f>
        <v>14</v>
      </c>
      <c r="AG30" s="66" t="str">
        <f>INDEX(C6:Z30,MATCH(1,AF6:AF30,0),1)</f>
        <v>przeworski</v>
      </c>
      <c r="AH30" s="58">
        <f>INDEX(C6:Z30,MATCH(1,AF6:AF30,0),24)</f>
        <v>-144</v>
      </c>
      <c r="AI30" s="79"/>
    </row>
    <row r="31" spans="2:35" ht="12" thickBot="1" x14ac:dyDescent="0.25">
      <c r="C31" s="88" t="s">
        <v>52</v>
      </c>
      <c r="D31" s="153">
        <f>SUM(D6:D30)</f>
        <v>10861</v>
      </c>
      <c r="E31" s="154">
        <f>SUM(E6:E30)</f>
        <v>10883</v>
      </c>
      <c r="F31" s="93">
        <f t="shared" si="0"/>
        <v>-22</v>
      </c>
      <c r="G31" s="76"/>
      <c r="H31" s="90">
        <f t="shared" ref="H31:R31" si="7">SUM(H6:H30)</f>
        <v>2223</v>
      </c>
      <c r="I31" s="89">
        <f t="shared" si="7"/>
        <v>2570</v>
      </c>
      <c r="J31" s="93">
        <f t="shared" si="1"/>
        <v>-347</v>
      </c>
      <c r="K31" s="76"/>
      <c r="L31" s="90">
        <f t="shared" si="7"/>
        <v>1854</v>
      </c>
      <c r="M31" s="89">
        <f>SUM(M6:M30)</f>
        <v>1782</v>
      </c>
      <c r="N31" s="93">
        <f t="shared" si="2"/>
        <v>72</v>
      </c>
      <c r="O31" s="76"/>
      <c r="P31" s="91">
        <f t="shared" si="7"/>
        <v>-297</v>
      </c>
      <c r="Q31" s="79"/>
      <c r="R31" s="130">
        <f t="shared" si="7"/>
        <v>67653</v>
      </c>
      <c r="S31" s="89">
        <f>SUM(S6:S30)</f>
        <v>68399</v>
      </c>
      <c r="T31" s="92">
        <f>SUM(T6:T30)</f>
        <v>746</v>
      </c>
      <c r="U31" s="50"/>
      <c r="V31" s="130">
        <f>SUM(V6:V30)</f>
        <v>67336</v>
      </c>
      <c r="W31" s="112">
        <f>SUM(W6:W30)</f>
        <v>69031</v>
      </c>
      <c r="X31" s="112">
        <f>SUM(W31-V31)</f>
        <v>1695</v>
      </c>
      <c r="Y31" s="78"/>
      <c r="Z31" s="91">
        <f t="shared" si="5"/>
        <v>2441</v>
      </c>
      <c r="AB31" s="113"/>
      <c r="AC31" s="113"/>
      <c r="AD31" s="113"/>
      <c r="AE31" s="79"/>
      <c r="AF31" s="113"/>
      <c r="AG31" s="113"/>
      <c r="AH31" s="113"/>
      <c r="AI31" s="79"/>
    </row>
    <row r="32" spans="2:35" x14ac:dyDescent="0.2">
      <c r="Q32" s="80"/>
    </row>
  </sheetData>
  <pageMargins left="0" right="0" top="0" bottom="0" header="0" footer="0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140625" style="3" customWidth="1"/>
    <col min="26" max="26" width="3.28515625" style="3" customWidth="1"/>
    <col min="27" max="27" width="6.5703125" style="3" customWidth="1"/>
    <col min="28" max="28" width="16.140625" style="3" customWidth="1"/>
    <col min="29" max="29" width="14.5703125" style="3" customWidth="1"/>
    <col min="30" max="30" width="2.7109375" style="3" customWidth="1"/>
    <col min="31" max="31" width="7" style="3" customWidth="1"/>
    <col min="32" max="32" width="15.28515625" style="3" customWidth="1"/>
    <col min="33" max="33" width="14.140625" style="3" customWidth="1"/>
    <col min="34" max="16384" width="9.140625" style="3"/>
  </cols>
  <sheetData>
    <row r="1" spans="2:33" ht="32.25" customHeight="1" x14ac:dyDescent="0.2">
      <c r="B1" s="2" t="s">
        <v>32</v>
      </c>
      <c r="V1" s="171" t="s">
        <v>60</v>
      </c>
      <c r="W1" s="171"/>
      <c r="X1" s="171"/>
      <c r="Y1" s="171"/>
      <c r="AA1" s="2" t="s">
        <v>76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31-03-'25 r.</v>
      </c>
      <c r="E3" s="38" t="str">
        <f>T('1bezr.'!D2)</f>
        <v>liczba bezrobotnych ogółem stan na 28-02-'25 r.</v>
      </c>
      <c r="F3" s="37" t="str">
        <f>T('1bezr.'!E2)</f>
        <v>wzrost/spadek do miesiąca poprzedniego</v>
      </c>
      <c r="G3" s="38" t="str">
        <f>T('1bezr.'!F2)</f>
        <v>liczba bezrobotnych ogółem stan na 31-03-'24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22"/>
      <c r="AA3" s="43" t="s">
        <v>42</v>
      </c>
      <c r="AB3" s="36" t="str">
        <f>T('1bezr.'!B2)</f>
        <v>powiaty</v>
      </c>
      <c r="AC3" s="36" t="str">
        <f>T('1bezr.'!C2)</f>
        <v>liczba bezrobotnych ogółem stan na 31-03-'25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31-03-'25 r.</v>
      </c>
    </row>
    <row r="4" spans="2:33" x14ac:dyDescent="0.2">
      <c r="B4" s="6">
        <f>RANK('1bezr.'!C3,'1bezr.'!$C$3:'1bezr.'!$C$28,1)+COUNTIF('1bezr.'!$C$3:'1bezr.'!C3,'1bezr.'!C3)-1</f>
        <v>3</v>
      </c>
      <c r="C4" s="5" t="str">
        <f>INDEX('1bezr.'!B3:G28,MATCH(1,B4:B29,0),1)</f>
        <v>Krosno</v>
      </c>
      <c r="D4" s="24">
        <f>INDEX('1bezr.'!B3:G28,MATCH(1,B4:B29,0),2)</f>
        <v>882</v>
      </c>
      <c r="E4" s="42">
        <f>INDEX('1bezr.'!B3:G28,MATCH(1,B4:B29,0),3)</f>
        <v>897</v>
      </c>
      <c r="F4" s="6">
        <f>INDEX('1bezr.'!B3:G28,MATCH(1,B4:B29,0),4)</f>
        <v>-15</v>
      </c>
      <c r="G4" s="42">
        <f>INDEX('1bezr.'!B3:G28,MATCH(1,B4:B29,0),5)</f>
        <v>875</v>
      </c>
      <c r="H4" s="6">
        <f>INDEX('1bezr.'!B3:G28,MATCH(1,B4:B29,0),6)</f>
        <v>7</v>
      </c>
      <c r="V4" s="6">
        <f>RANK('1bezr.'!E3,'1bezr.'!$E$3:'1bezr.'!$E$28,1)+COUNTIF('1bezr.'!$E$3:'1bezr.'!E3,'1bezr.'!E3)-1</f>
        <v>7</v>
      </c>
      <c r="W4" s="125" t="str">
        <f>INDEX('1bezr.'!B3:G28,MATCH(1,V4:V29,0),1)</f>
        <v>województwo</v>
      </c>
      <c r="X4" s="167">
        <f>INDEX('1bezr.'!E3:G28,MATCH(1,V4:V29,0),1)</f>
        <v>-1999</v>
      </c>
      <c r="Y4" s="168"/>
      <c r="Z4" s="2"/>
      <c r="AA4" s="6">
        <f>RANK('1bezr.'!C3,'1bezr.'!$C$3:'1bezr.'!$C$28,1)+COUNTIF('1bezr.'!$C$3:'1bezr.'!C3,'1bezr.'!C3)-1</f>
        <v>3</v>
      </c>
      <c r="AB4" s="121" t="str">
        <f>INDEX('1bezr.'!B3:G28,MATCH(25,AA4:AA29,0),1)</f>
        <v>Rzeszów</v>
      </c>
      <c r="AC4" s="6">
        <f>INDEX('1bezr.'!B3:G28,MATCH(25,AA4:AA29,0),2)</f>
        <v>5127</v>
      </c>
      <c r="AE4" s="6">
        <f>RANK('1bezr.'!C3,'1bezr.'!$C$3:'1bezr.'!$C$28,1)+COUNTIF('1bezr.'!$C$3:'1bezr.'!C3,'1bezr.'!C3)-1</f>
        <v>3</v>
      </c>
      <c r="AF4" s="121" t="str">
        <f>INDEX('1bezr.'!B3:G28,MATCH(1,AE4:AE29,0),1)</f>
        <v>Krosno</v>
      </c>
      <c r="AG4" s="6">
        <f>INDEX('1bezr.'!B3:K28,MATCH(1,AE4:AE29,0),2)</f>
        <v>882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Tarnobrzeg</v>
      </c>
      <c r="D5" s="6">
        <f>INDEX('1bezr.'!B3:G28,MATCH(2,B4:B29,0),2)</f>
        <v>1048</v>
      </c>
      <c r="E5" s="42">
        <f>INDEX('1bezr.'!B3:G28,MATCH(2,B4:B29,0),3)</f>
        <v>1110</v>
      </c>
      <c r="F5" s="6">
        <f>INDEX('1bezr.'!B3:G28,MATCH(2,B4:B29,0),4)</f>
        <v>-62</v>
      </c>
      <c r="G5" s="42">
        <f>INDEX('1bezr.'!B3:G28,MATCH(2,B4:B29,0),5)</f>
        <v>1121</v>
      </c>
      <c r="H5" s="6">
        <f>INDEX('1bezr.'!B3:G28,MATCH(2,B4:B29,0),6)</f>
        <v>-73</v>
      </c>
      <c r="V5" s="6">
        <f>RANK('1bezr.'!E4,'1bezr.'!$E$3:'1bezr.'!$E$28,1)+COUNTIF('1bezr.'!$E$3:'1bezr.'!E4,'1bezr.'!E4)-1</f>
        <v>4</v>
      </c>
      <c r="W5" s="125" t="str">
        <f>INDEX('1bezr.'!B3:G28,MATCH(2,V4:V29,0),1)</f>
        <v>jarosławski</v>
      </c>
      <c r="X5" s="6">
        <f>INDEX('1bezr.'!E3:G28,MATCH(2,V4:V29,0),1)</f>
        <v>-287</v>
      </c>
      <c r="Y5" s="135">
        <v>1</v>
      </c>
      <c r="Z5" s="2"/>
      <c r="AA5" s="6">
        <f>RANK('1bezr.'!C4,'1bezr.'!$C$3:'1bezr.'!$C$28,1)+COUNTIF('1bezr.'!$C$3:'1bezr.'!C4,'1bezr.'!C4)-1</f>
        <v>21</v>
      </c>
      <c r="AB5" s="121" t="str">
        <f>INDEX('1bezr.'!B3:G28,MATCH(24,AA4:AA29,0),1)</f>
        <v>jasielski</v>
      </c>
      <c r="AC5" s="6">
        <f>INDEX('1bezr.'!B3:K28,MATCH(24,AA4:AA29,0),2)</f>
        <v>4996</v>
      </c>
      <c r="AE5" s="6">
        <f>RANK('1bezr.'!C4,'1bezr.'!$C$3:'1bezr.'!$C$28,1)+COUNTIF('1bezr.'!$C$3:'1bezr.'!C4,'1bezr.'!C4)-1</f>
        <v>21</v>
      </c>
      <c r="AF5" s="121" t="str">
        <f>INDEX('1bezr.'!B3:G28,MATCH(2,AE4:AE29,0),1)</f>
        <v>Tarnobrzeg</v>
      </c>
      <c r="AG5" s="6">
        <f>INDEX('1bezr.'!B3:K28,MATCH(2,AE4:AE29,0),2)</f>
        <v>1048</v>
      </c>
    </row>
    <row r="6" spans="2:33" x14ac:dyDescent="0.2">
      <c r="B6" s="6">
        <f>RANK('1bezr.'!C5,'1bezr.'!$C$3:'1bezr.'!$C$28,1)+COUNTIF('1bezr.'!$C$3:'1bezr.'!C5,'1bezr.'!C5)-1</f>
        <v>10</v>
      </c>
      <c r="C6" s="5" t="str">
        <f>INDEX('1bezr.'!B3:G28,MATCH(3,B4:B29,0),1)</f>
        <v>bieszczadzki</v>
      </c>
      <c r="D6" s="6">
        <f>INDEX('1bezr.'!B3:G28,MATCH(3,B4:B29,0),2)</f>
        <v>1095</v>
      </c>
      <c r="E6" s="42">
        <f>INDEX('1bezr.'!B3:G28,MATCH(3,B4:B29,0),3)</f>
        <v>1192</v>
      </c>
      <c r="F6" s="6">
        <f>INDEX('1bezr.'!B3:G28,MATCH(3,B4:B29,0),4)</f>
        <v>-97</v>
      </c>
      <c r="G6" s="42">
        <f>INDEX('1bezr.'!B3:G28,MATCH(3,B4:B29,0),5)</f>
        <v>1082</v>
      </c>
      <c r="H6" s="6">
        <f>INDEX('1bezr.'!B3:G28,MATCH(3,B4:B29,0),6)</f>
        <v>13</v>
      </c>
      <c r="V6" s="6">
        <f>RANK('1bezr.'!E5,'1bezr.'!$E$3:'1bezr.'!$E$28,1)+COUNTIF('1bezr.'!$E$3:'1bezr.'!E5,'1bezr.'!E5)-1</f>
        <v>11</v>
      </c>
      <c r="W6" s="136" t="str">
        <f>INDEX('1bezr.'!B3:G28,MATCH(3,V4:V29,0),1)</f>
        <v>leżajski</v>
      </c>
      <c r="X6" s="6">
        <f>INDEX('1bezr.'!E3:G28,MATCH(3,V4:V29,0),1)</f>
        <v>-177</v>
      </c>
      <c r="Y6" s="135">
        <v>2</v>
      </c>
      <c r="Z6" s="2"/>
      <c r="AA6" s="6">
        <f>RANK('1bezr.'!C5,'1bezr.'!$C$3:'1bezr.'!$C$28,1)+COUNTIF('1bezr.'!$C$3:'1bezr.'!C5,'1bezr.'!C5)-1</f>
        <v>10</v>
      </c>
      <c r="AB6" s="121" t="str">
        <f>INDEX('1bezr.'!B3:G28,MATCH(23,AA4:AA29,0),1)</f>
        <v>rzeszowski</v>
      </c>
      <c r="AC6" s="6">
        <f>INDEX('1bezr.'!B3:K28,MATCH(23,AA4:AA29,0),2)</f>
        <v>4650</v>
      </c>
      <c r="AE6" s="6">
        <f>RANK('1bezr.'!C5,'1bezr.'!$C$3:'1bezr.'!$C$28,1)+COUNTIF('1bezr.'!$C$3:'1bezr.'!C5,'1bezr.'!C5)-1</f>
        <v>10</v>
      </c>
      <c r="AF6" s="121" t="str">
        <f>INDEX('1bezr.'!B3:G28,MATCH(3,AE4:AE29,0),1)</f>
        <v>bieszczadzki</v>
      </c>
      <c r="AG6" s="6">
        <f>INDEX('1bezr.'!B3:K28,MATCH(3,AE4:AE29,0),2)</f>
        <v>1095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1253</v>
      </c>
      <c r="E7" s="42">
        <f>INDEX('1bezr.'!B3:G28,MATCH(4,B4:B29,0),3)</f>
        <v>1350</v>
      </c>
      <c r="F7" s="6">
        <f>INDEX('1bezr.'!B3:G28,MATCH(4,B4:B29,0),4)</f>
        <v>-97</v>
      </c>
      <c r="G7" s="42">
        <f>INDEX('1bezr.'!B3:G28,MATCH(4,B4:B29,0),5)</f>
        <v>1298</v>
      </c>
      <c r="H7" s="6">
        <f>INDEX('1bezr.'!B3:G28,MATCH(4,B4:B29,0),6)</f>
        <v>-45</v>
      </c>
      <c r="V7" s="6">
        <f>RANK('1bezr.'!E6,'1bezr.'!$E$3:'1bezr.'!$E$28,1)+COUNTIF('1bezr.'!$E$3:'1bezr.'!E6,'1bezr.'!E6)-1</f>
        <v>2</v>
      </c>
      <c r="W7" s="136" t="str">
        <f>INDEX('1bezr.'!B3:G28,MATCH(4,V4:V29,0),1)</f>
        <v>brzozowski</v>
      </c>
      <c r="X7" s="6">
        <f>INDEX('1bezr.'!E3:G28,MATCH(4,V4:V29,0),1)</f>
        <v>-139</v>
      </c>
      <c r="Y7" s="135">
        <v>3</v>
      </c>
      <c r="Z7" s="2"/>
      <c r="AA7" s="6">
        <f>RANK('1bezr.'!C6,'1bezr.'!$C$3:'1bezr.'!$C$28,1)+COUNTIF('1bezr.'!$C$3:'1bezr.'!C6,'1bezr.'!C6)-1</f>
        <v>22</v>
      </c>
      <c r="AB7" s="121" t="str">
        <f>INDEX('1bezr.'!B3:G28,MATCH(22,AA4:AA29,0),1)</f>
        <v>jarosławski</v>
      </c>
      <c r="AC7" s="6">
        <f>INDEX('1bezr.'!B3:K28,MATCH(22,AA4:AA29,0),2)</f>
        <v>4643</v>
      </c>
      <c r="AE7" s="6">
        <f>RANK('1bezr.'!C6,'1bezr.'!$C$3:'1bezr.'!$C$28,1)+COUNTIF('1bezr.'!$C$3:'1bezr.'!C6,'1bezr.'!C6)-1</f>
        <v>22</v>
      </c>
      <c r="AF7" s="121" t="str">
        <f>INDEX('1bezr.'!B3:G28,MATCH(4,AE4:AE29,0),1)</f>
        <v xml:space="preserve">tarnobrzeski </v>
      </c>
      <c r="AG7" s="6">
        <f>INDEX('1bezr.'!B3:K28,MATCH(4,AE4:AE29,0),2)</f>
        <v>1253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1625</v>
      </c>
      <c r="E8" s="42">
        <f>INDEX('1bezr.'!B3:G28,MATCH(5,B4:B29,0),3)</f>
        <v>1623</v>
      </c>
      <c r="F8" s="6">
        <f>INDEX('1bezr.'!B3:G28,MATCH(5,B4:B29,0),4)</f>
        <v>2</v>
      </c>
      <c r="G8" s="42">
        <f>INDEX('1bezr.'!B3:G28,MATCH(5,B4:B29,0),5)</f>
        <v>1571</v>
      </c>
      <c r="H8" s="6">
        <f>INDEX('1bezr.'!B3:G28,MATCH(5,B4:B29,0),6)</f>
        <v>54</v>
      </c>
      <c r="V8" s="6">
        <f>RANK('1bezr.'!E7,'1bezr.'!$E$3:'1bezr.'!$E$28,1)+COUNTIF('1bezr.'!$E$3:'1bezr.'!E7,'1bezr.'!E7)-1</f>
        <v>9</v>
      </c>
      <c r="W8" s="136" t="str">
        <f>INDEX('1bezr.'!B3:G28,MATCH(5,V4:V29,0),1)</f>
        <v>przemyski</v>
      </c>
      <c r="X8" s="6">
        <f>INDEX('1bezr.'!E3:G28,MATCH(5,V4:V29,0),1)</f>
        <v>-137</v>
      </c>
      <c r="Y8" s="135">
        <v>4</v>
      </c>
      <c r="Z8" s="2"/>
      <c r="AA8" s="6">
        <f>RANK('1bezr.'!C7,'1bezr.'!$C$3:'1bezr.'!$C$28,1)+COUNTIF('1bezr.'!$C$3:'1bezr.'!C7,'1bezr.'!C7)-1</f>
        <v>24</v>
      </c>
      <c r="AB8" s="121" t="str">
        <f>INDEX('1bezr.'!B3:G28,MATCH(21,AA4:AA29,0),1)</f>
        <v>brzozowski</v>
      </c>
      <c r="AC8" s="6">
        <f>INDEX('1bezr.'!B3:K28,MATCH(21,AA4:AA29,0),2)</f>
        <v>3773</v>
      </c>
      <c r="AE8" s="6">
        <f>RANK('1bezr.'!C7,'1bezr.'!$C$3:'1bezr.'!$C$28,1)+COUNTIF('1bezr.'!$C$3:'1bezr.'!C7,'1bezr.'!C7)-1</f>
        <v>24</v>
      </c>
      <c r="AF8" s="121" t="str">
        <f>INDEX('1bezr.'!B3:G28,MATCH(5,AE4:AE29,0),1)</f>
        <v>kolbuszowski</v>
      </c>
      <c r="AG8" s="6">
        <f>INDEX('1bezr.'!B3:K28,MATCH(5,AE4:AE29,0),2)</f>
        <v>1625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1701</v>
      </c>
      <c r="E9" s="42">
        <f>INDEX('1bezr.'!B3:G28,MATCH(6,B4:B29,0),3)</f>
        <v>1763</v>
      </c>
      <c r="F9" s="6">
        <f>INDEX('1bezr.'!B3:G28,MATCH(6,B4:B29,0),4)</f>
        <v>-62</v>
      </c>
      <c r="G9" s="42">
        <f>INDEX('1bezr.'!B3:G28,MATCH(6,B4:B29,0),5)</f>
        <v>1733</v>
      </c>
      <c r="H9" s="6">
        <f>INDEX('1bezr.'!B3:G28,MATCH(6,B4:B29,0),6)</f>
        <v>-32</v>
      </c>
      <c r="V9" s="6">
        <f>RANK('1bezr.'!E8,'1bezr.'!$E$3:'1bezr.'!$E$28,1)+COUNTIF('1bezr.'!$E$3:'1bezr.'!E8,'1bezr.'!E8)-1</f>
        <v>25</v>
      </c>
      <c r="W9" s="136" t="str">
        <f>INDEX('1bezr.'!B3:G28,MATCH(6,V4:V29,0),1)</f>
        <v>niżański</v>
      </c>
      <c r="X9" s="6">
        <f>INDEX('1bezr.'!E3:G28,MATCH(6,V4:V29,0),1)</f>
        <v>-120</v>
      </c>
      <c r="Y9" s="135">
        <v>5</v>
      </c>
      <c r="Z9" s="2"/>
      <c r="AA9" s="6">
        <f>RANK('1bezr.'!C8,'1bezr.'!$C$3:'1bezr.'!$C$28,1)+COUNTIF('1bezr.'!$C$3:'1bezr.'!C8,'1bezr.'!C8)-1</f>
        <v>5</v>
      </c>
      <c r="AB9" s="121" t="str">
        <f>INDEX('1bezr.'!B3:G28,MATCH(20,AA4:AA29,0),1)</f>
        <v>przeworski</v>
      </c>
      <c r="AC9" s="6">
        <f>INDEX('1bezr.'!B3:K28,MATCH(20,AA4:AA29,0),2)</f>
        <v>3391</v>
      </c>
      <c r="AE9" s="6">
        <f>RANK('1bezr.'!C8,'1bezr.'!$C$3:'1bezr.'!$C$28,1)+COUNTIF('1bezr.'!$C$3:'1bezr.'!C8,'1bezr.'!C8)-1</f>
        <v>5</v>
      </c>
      <c r="AF9" s="121" t="str">
        <f>INDEX('1bezr.'!B3:G28,MATCH(6,AE4:AE29,0),1)</f>
        <v>leski</v>
      </c>
      <c r="AG9" s="6">
        <f>INDEX('1bezr.'!B3:K28,MATCH(6,AE4:AE29,0),2)</f>
        <v>1701</v>
      </c>
    </row>
    <row r="10" spans="2:33" x14ac:dyDescent="0.2">
      <c r="B10" s="6">
        <f>RANK('1bezr.'!C9,'1bezr.'!$C$3:'1bezr.'!$C$28,1)+COUNTIF('1bezr.'!$C$3:'1bezr.'!C9,'1bezr.'!C9)-1</f>
        <v>11</v>
      </c>
      <c r="C10" s="9" t="str">
        <f>INDEX('1bezr.'!B3:G28,MATCH(7,B4:B29,0),1)</f>
        <v>lubaczowski</v>
      </c>
      <c r="D10" s="6">
        <f>INDEX('1bezr.'!B3:G28,MATCH(7,B4:B29,0),2)</f>
        <v>1708</v>
      </c>
      <c r="E10" s="42">
        <f>INDEX('1bezr.'!B3:G28,MATCH(7,B4:B29,0),3)</f>
        <v>1793</v>
      </c>
      <c r="F10" s="6">
        <f>INDEX('1bezr.'!B3:G28,MATCH(7,B4:B29,0),4)</f>
        <v>-85</v>
      </c>
      <c r="G10" s="42">
        <f>INDEX('1bezr.'!B3:G28,MATCH(7,B4:B29,0),5)</f>
        <v>1769</v>
      </c>
      <c r="H10" s="6">
        <f>INDEX('1bezr.'!B3:G28,MATCH(7,B4:B29,0),6)</f>
        <v>-61</v>
      </c>
      <c r="V10" s="6">
        <f>RANK('1bezr.'!E9,'1bezr.'!$E$3:'1bezr.'!$E$28,1)+COUNTIF('1bezr.'!$E$3:'1bezr.'!E9,'1bezr.'!E9)-1</f>
        <v>17</v>
      </c>
      <c r="W10" s="141" t="str">
        <f>INDEX('1bezr.'!B3:G28,MATCH(7,V4:V29,0),1)</f>
        <v>bieszczadzki</v>
      </c>
      <c r="X10" s="6">
        <f>INDEX('1bezr.'!E3:G28,MATCH(7,V4:V29,0),1)</f>
        <v>-97</v>
      </c>
      <c r="Y10" s="135">
        <v>6</v>
      </c>
      <c r="Z10" s="2"/>
      <c r="AA10" s="6">
        <f>RANK('1bezr.'!C9,'1bezr.'!$C$3:'1bezr.'!$C$28,1)+COUNTIF('1bezr.'!$C$3:'1bezr.'!C9,'1bezr.'!C9)-1</f>
        <v>11</v>
      </c>
      <c r="AB10" s="142" t="str">
        <f>INDEX('1bezr.'!B3:G28,MATCH(19,AA4:AA29,0),1)</f>
        <v>mielecki</v>
      </c>
      <c r="AC10" s="6">
        <f>INDEX('1bezr.'!B3:K28,MATCH(19,AA4:AA29,0),2)</f>
        <v>3166</v>
      </c>
      <c r="AE10" s="6">
        <f>RANK('1bezr.'!C9,'1bezr.'!$C$3:'1bezr.'!$C$28,1)+COUNTIF('1bezr.'!$C$3:'1bezr.'!C9,'1bezr.'!C9)-1</f>
        <v>11</v>
      </c>
      <c r="AF10" s="142" t="str">
        <f>INDEX('1bezr.'!B3:G28,MATCH(7,AE4:AE29,0),1)</f>
        <v>lubaczowski</v>
      </c>
      <c r="AG10" s="6">
        <f>INDEX('1bezr.'!B3:K28,MATCH(7,AE4:AE29,0),2)</f>
        <v>1708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2304</v>
      </c>
      <c r="E11" s="42">
        <f>INDEX('1bezr.'!B3:G28,MATCH(8,B4:B29,0),3)</f>
        <v>2331</v>
      </c>
      <c r="F11" s="6">
        <f>INDEX('1bezr.'!B3:G28,MATCH(8,B4:B29,0),4)</f>
        <v>-27</v>
      </c>
      <c r="G11" s="42">
        <f>INDEX('1bezr.'!B3:G28,MATCH(8,B4:B29,0),5)</f>
        <v>2023</v>
      </c>
      <c r="H11" s="6">
        <f>INDEX('1bezr.'!B3:G28,MATCH(8,B4:B29,0),6)</f>
        <v>281</v>
      </c>
      <c r="V11" s="6">
        <f>RANK('1bezr.'!E10,'1bezr.'!$E$3:'1bezr.'!$E$28,1)+COUNTIF('1bezr.'!$E$3:'1bezr.'!E10,'1bezr.'!E10)-1</f>
        <v>18</v>
      </c>
      <c r="W11" s="136" t="str">
        <f>INDEX('1bezr.'!B3:G28,MATCH(8,V4:V29,0),1)</f>
        <v xml:space="preserve">tarnobrzeski </v>
      </c>
      <c r="X11" s="6">
        <f>INDEX('1bezr.'!E3:G28,MATCH(8,V4:V29,0),1)</f>
        <v>-97</v>
      </c>
      <c r="Y11" s="135">
        <v>7</v>
      </c>
      <c r="Z11" s="2"/>
      <c r="AA11" s="6">
        <f>RANK('1bezr.'!C10,'1bezr.'!$C$3:'1bezr.'!$C$28,1)+COUNTIF('1bezr.'!$C$3:'1bezr.'!C10,'1bezr.'!C10)-1</f>
        <v>6</v>
      </c>
      <c r="AB11" s="121" t="str">
        <f>INDEX('1bezr.'!B3:G28,MATCH(18,AA4:AA29,0),1)</f>
        <v>strzyżowski</v>
      </c>
      <c r="AC11" s="6">
        <f>INDEX('1bezr.'!B3:K28,MATCH(18,AA4:AA29,0),2)</f>
        <v>3101</v>
      </c>
      <c r="AE11" s="6">
        <f>RANK('1bezr.'!C10,'1bezr.'!$C$3:'1bezr.'!$C$28,1)+COUNTIF('1bezr.'!$C$3:'1bezr.'!C10,'1bezr.'!C10)-1</f>
        <v>6</v>
      </c>
      <c r="AF11" s="121" t="str">
        <f>INDEX('1bezr.'!B3:G28,MATCH(8,AE4:AE29,0),1)</f>
        <v>stalowowolski</v>
      </c>
      <c r="AG11" s="6">
        <f>INDEX('1bezr.'!B3:K28,MATCH(8,AE4:AE29,0),2)</f>
        <v>2304</v>
      </c>
    </row>
    <row r="12" spans="2:33" x14ac:dyDescent="0.2">
      <c r="B12" s="6">
        <f>RANK('1bezr.'!C11,'1bezr.'!$C$3:'1bezr.'!$C$28,1)+COUNTIF('1bezr.'!$C$3:'1bezr.'!C11,'1bezr.'!C11)-1</f>
        <v>16</v>
      </c>
      <c r="C12" s="5" t="str">
        <f>INDEX('1bezr.'!B3:G28,MATCH(9,B4:B29,0),1)</f>
        <v>Przemyśl</v>
      </c>
      <c r="D12" s="6">
        <f>INDEX('1bezr.'!B3:G28,MATCH(9,B4:B29,0),2)</f>
        <v>2355</v>
      </c>
      <c r="E12" s="42">
        <f>INDEX('1bezr.'!B3:G28,MATCH(9,B4:B29,0),3)</f>
        <v>2431</v>
      </c>
      <c r="F12" s="6">
        <f>INDEX('1bezr.'!B3:G28,MATCH(9,B4:B29,0),4)</f>
        <v>-76</v>
      </c>
      <c r="G12" s="42">
        <f>INDEX('1bezr.'!B3:G28,MATCH(9,B4:B29,0),5)</f>
        <v>2357</v>
      </c>
      <c r="H12" s="6">
        <f>INDEX('1bezr.'!B3:G28,MATCH(9,B4:B29,0),6)</f>
        <v>-2</v>
      </c>
      <c r="V12" s="6">
        <f>RANK('1bezr.'!E11,'1bezr.'!$E$3:'1bezr.'!$E$28,1)+COUNTIF('1bezr.'!$E$3:'1bezr.'!E11,'1bezr.'!E11)-1</f>
        <v>3</v>
      </c>
      <c r="W12" s="136" t="str">
        <f>INDEX('1bezr.'!B3:G28,MATCH(9,V4:V29,0),1)</f>
        <v>jasielski</v>
      </c>
      <c r="X12" s="6">
        <f>INDEX('1bezr.'!E3:G28,MATCH(9,V4:V29,0),1)</f>
        <v>-96</v>
      </c>
      <c r="Y12" s="135">
        <v>8</v>
      </c>
      <c r="Z12" s="2"/>
      <c r="AA12" s="6">
        <f>RANK('1bezr.'!C11,'1bezr.'!$C$3:'1bezr.'!$C$28,1)+COUNTIF('1bezr.'!$C$3:'1bezr.'!C11,'1bezr.'!C11)-1</f>
        <v>16</v>
      </c>
      <c r="AB12" s="121" t="str">
        <f>INDEX('1bezr.'!B3:G28,MATCH(17,AA4:AA29,0),1)</f>
        <v>sanocki</v>
      </c>
      <c r="AC12" s="6">
        <f>INDEX('1bezr.'!B3:K28,MATCH(17,AA4:AA29,0),2)</f>
        <v>3097</v>
      </c>
      <c r="AE12" s="6">
        <f>RANK('1bezr.'!C11,'1bezr.'!$C$3:'1bezr.'!$C$28,1)+COUNTIF('1bezr.'!$C$3:'1bezr.'!C11,'1bezr.'!C11)-1</f>
        <v>16</v>
      </c>
      <c r="AF12" s="121" t="str">
        <f>INDEX('1bezr.'!B3:G28,MATCH(9,AE4:AE29,0),1)</f>
        <v>Przemyśl</v>
      </c>
      <c r="AG12" s="6">
        <f>INDEX('1bezr.'!B3:K28,MATCH(9,AE4:AE29,0),2)</f>
        <v>2355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dębicki</v>
      </c>
      <c r="D13" s="6">
        <f>INDEX('1bezr.'!B3:G28,MATCH(10,B4:B29,0),2)</f>
        <v>2407</v>
      </c>
      <c r="E13" s="42">
        <f>INDEX('1bezr.'!B3:G28,MATCH(10,B4:B29,0),3)</f>
        <v>2493</v>
      </c>
      <c r="F13" s="6">
        <f>INDEX('1bezr.'!B3:G28,MATCH(10,B4:B29,0),4)</f>
        <v>-86</v>
      </c>
      <c r="G13" s="42">
        <f>INDEX('1bezr.'!B3:G28,MATCH(10,B4:B29,0),5)</f>
        <v>2517</v>
      </c>
      <c r="H13" s="6">
        <f>INDEX('1bezr.'!B3:G28,MATCH(10,B4:B29,0),6)</f>
        <v>-110</v>
      </c>
      <c r="V13" s="6">
        <f>RANK('1bezr.'!E12,'1bezr.'!$E$3:'1bezr.'!$E$28,1)+COUNTIF('1bezr.'!$E$3:'1bezr.'!E12,'1bezr.'!E12)-1</f>
        <v>12</v>
      </c>
      <c r="W13" s="136" t="str">
        <f>INDEX('1bezr.'!B3:G28,MATCH(10,V4:V29,0),1)</f>
        <v>łańcucki</v>
      </c>
      <c r="X13" s="6">
        <f>INDEX('1bezr.'!E3:G28,MATCH(10,V4:V29,0),1)</f>
        <v>-89</v>
      </c>
      <c r="Y13" s="135">
        <v>9</v>
      </c>
      <c r="Z13" s="117"/>
      <c r="AA13" s="6">
        <f>RANK('1bezr.'!C12,'1bezr.'!$C$3:'1bezr.'!$C$28,1)+COUNTIF('1bezr.'!$C$3:'1bezr.'!C12,'1bezr.'!C12)-1</f>
        <v>7</v>
      </c>
      <c r="AB13" s="121" t="str">
        <f>INDEX('1bezr.'!B3:G28,MATCH(16,AA4:AA29,0),1)</f>
        <v>leżajski</v>
      </c>
      <c r="AC13" s="6">
        <f>INDEX('1bezr.'!B3:K28,MATCH(16,AA4:AA29,0),2)</f>
        <v>3010</v>
      </c>
      <c r="AE13" s="6">
        <f>RANK('1bezr.'!C12,'1bezr.'!$C$3:'1bezr.'!$C$28,1)+COUNTIF('1bezr.'!$C$3:'1bezr.'!C12,'1bezr.'!C12)-1</f>
        <v>7</v>
      </c>
      <c r="AF13" s="121" t="str">
        <f>INDEX('1bezr.'!B3:G28,MATCH(10,AE4:AE29,0),1)</f>
        <v>dębicki</v>
      </c>
      <c r="AG13" s="6">
        <f>INDEX('1bezr.'!B3:K28,MATCH(10,AE4:AE29,0),2)</f>
        <v>2407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krośnieński</v>
      </c>
      <c r="D14" s="6">
        <f>INDEX('1bezr.'!B3:G28,MATCH(11,B4:B29,0),2)</f>
        <v>2479</v>
      </c>
      <c r="E14" s="42">
        <f>INDEX('1bezr.'!B3:G28,MATCH(11,B4:B29,0),3)</f>
        <v>2548</v>
      </c>
      <c r="F14" s="6">
        <f>INDEX('1bezr.'!B3:G28,MATCH(11,B4:B29,0),4)</f>
        <v>-69</v>
      </c>
      <c r="G14" s="42">
        <f>INDEX('1bezr.'!B3:G28,MATCH(11,B4:B29,0),5)</f>
        <v>2407</v>
      </c>
      <c r="H14" s="6">
        <f>INDEX('1bezr.'!B3:G28,MATCH(11,B4:B29,0),6)</f>
        <v>72</v>
      </c>
      <c r="V14" s="6">
        <f>RANK('1bezr.'!E13,'1bezr.'!$E$3:'1bezr.'!$E$28,1)+COUNTIF('1bezr.'!$E$3:'1bezr.'!E13,'1bezr.'!E13)-1</f>
        <v>10</v>
      </c>
      <c r="W14" s="136" t="str">
        <f>INDEX('1bezr.'!B3:G28,MATCH(11,V4:V29,0),1)</f>
        <v>dębicki</v>
      </c>
      <c r="X14" s="6">
        <f>INDEX('1bezr.'!E3:G28,MATCH(11,V4:V29,0),1)</f>
        <v>-86</v>
      </c>
      <c r="Y14" s="135">
        <v>10</v>
      </c>
      <c r="Z14" s="2"/>
      <c r="AA14" s="6">
        <f>RANK('1bezr.'!C13,'1bezr.'!$C$3:'1bezr.'!$C$28,1)+COUNTIF('1bezr.'!$C$3:'1bezr.'!C13,'1bezr.'!C13)-1</f>
        <v>12</v>
      </c>
      <c r="AB14" s="121" t="str">
        <f>INDEX('1bezr.'!B3:G28,MATCH(15,AA4:AA29,0),1)</f>
        <v>niżański</v>
      </c>
      <c r="AC14" s="6">
        <f>INDEX('1bezr.'!B3:K28,MATCH(15,AA4:AA29,0),2)</f>
        <v>2997</v>
      </c>
      <c r="AE14" s="6">
        <f>RANK('1bezr.'!C13,'1bezr.'!$C$3:'1bezr.'!$C$28,1)+COUNTIF('1bezr.'!$C$3:'1bezr.'!C13,'1bezr.'!C13)-1</f>
        <v>12</v>
      </c>
      <c r="AF14" s="121" t="str">
        <f>INDEX('1bezr.'!B3:G28,MATCH(11,AE4:AE29,0),1)</f>
        <v>krośnieński</v>
      </c>
      <c r="AG14" s="6">
        <f>INDEX('1bezr.'!B3:K28,MATCH(11,AE4:AE29,0),2)</f>
        <v>2479</v>
      </c>
    </row>
    <row r="15" spans="2:33" x14ac:dyDescent="0.2">
      <c r="B15" s="6">
        <f>RANK('1bezr.'!C14,'1bezr.'!$C$3:'1bezr.'!$C$28,1)+COUNTIF('1bezr.'!$C$3:'1bezr.'!C14,'1bezr.'!C14)-1</f>
        <v>19</v>
      </c>
      <c r="C15" s="5" t="str">
        <f>INDEX('1bezr.'!B3:G28,MATCH(12,B4:B29,0),1)</f>
        <v>łańcucki</v>
      </c>
      <c r="D15" s="6">
        <f>INDEX('1bezr.'!B3:G28,MATCH(12,B4:B29,0),2)</f>
        <v>2552</v>
      </c>
      <c r="E15" s="42">
        <f>INDEX('1bezr.'!B3:G28,MATCH(12,B4:B29,0),3)</f>
        <v>2641</v>
      </c>
      <c r="F15" s="6">
        <f>INDEX('1bezr.'!B3:G28,MATCH(12,B4:B29,0),4)</f>
        <v>-89</v>
      </c>
      <c r="G15" s="42">
        <f>INDEX('1bezr.'!B3:G28,MATCH(12,B4:B29,0),5)</f>
        <v>2611</v>
      </c>
      <c r="H15" s="6">
        <f>INDEX('1bezr.'!B3:G28,MATCH(12,B4:B29,0),6)</f>
        <v>-59</v>
      </c>
      <c r="V15" s="6">
        <f>RANK('1bezr.'!E14,'1bezr.'!$E$3:'1bezr.'!$E$28,1)+COUNTIF('1bezr.'!$E$3:'1bezr.'!E14,'1bezr.'!E14)-1</f>
        <v>16</v>
      </c>
      <c r="W15" s="136" t="str">
        <f>INDEX('1bezr.'!B3:G28,MATCH(12,V4:V29,0),1)</f>
        <v>lubaczowski</v>
      </c>
      <c r="X15" s="6">
        <f>INDEX('1bezr.'!E3:G28,MATCH(12,V4:V29,0),1)</f>
        <v>-85</v>
      </c>
      <c r="Y15" s="135">
        <v>11</v>
      </c>
      <c r="Z15" s="2"/>
      <c r="AA15" s="6">
        <f>RANK('1bezr.'!C14,'1bezr.'!$C$3:'1bezr.'!$C$28,1)+COUNTIF('1bezr.'!$C$3:'1bezr.'!C14,'1bezr.'!C14)-1</f>
        <v>19</v>
      </c>
      <c r="AB15" s="121" t="str">
        <f>INDEX('1bezr.'!B3:G28,MATCH(14,AA4:AA29,0),1)</f>
        <v>przemyski</v>
      </c>
      <c r="AC15" s="6">
        <f>INDEX('1bezr.'!B3:K28,MATCH(14,AA4:AA29,0),2)</f>
        <v>2930</v>
      </c>
      <c r="AE15" s="6">
        <f>RANK('1bezr.'!C14,'1bezr.'!$C$3:'1bezr.'!$C$28,1)+COUNTIF('1bezr.'!$C$3:'1bezr.'!C14,'1bezr.'!C14)-1</f>
        <v>19</v>
      </c>
      <c r="AF15" s="121" t="str">
        <f>INDEX('1bezr.'!B3:G28,MATCH(12,AE4:AE29,0),1)</f>
        <v>łańcucki</v>
      </c>
      <c r="AG15" s="6">
        <f>INDEX('1bezr.'!B3:K28,MATCH(12,AE4:AE29,0),2)</f>
        <v>2552</v>
      </c>
    </row>
    <row r="16" spans="2:33" x14ac:dyDescent="0.2">
      <c r="B16" s="6">
        <f>RANK('1bezr.'!C15,'1bezr.'!$C$3:'1bezr.'!$C$28,1)+COUNTIF('1bezr.'!$C$3:'1bezr.'!C15,'1bezr.'!C15)-1</f>
        <v>15</v>
      </c>
      <c r="C16" s="5" t="str">
        <f>INDEX('1bezr.'!B3:G28,MATCH(13,B4:B29,0),1)</f>
        <v>ropczycko-sędziszowski</v>
      </c>
      <c r="D16" s="6">
        <f>INDEX('1bezr.'!B3:G28,MATCH(13,B4:B29,0),2)</f>
        <v>2741</v>
      </c>
      <c r="E16" s="42">
        <f>INDEX('1bezr.'!B3:G28,MATCH(13,B4:B29,0),3)</f>
        <v>2743</v>
      </c>
      <c r="F16" s="6">
        <f>INDEX('1bezr.'!B3:G28,MATCH(13,B4:B29,0),4)</f>
        <v>-2</v>
      </c>
      <c r="G16" s="42">
        <f>INDEX('1bezr.'!B3:G28,MATCH(13,B4:B29,0),5)</f>
        <v>2609</v>
      </c>
      <c r="H16" s="6">
        <f>INDEX('1bezr.'!B3:G28,MATCH(13,B4:B29,0),6)</f>
        <v>132</v>
      </c>
      <c r="V16" s="6">
        <f>RANK('1bezr.'!E15,'1bezr.'!$E$3:'1bezr.'!$E$28,1)+COUNTIF('1bezr.'!$E$3:'1bezr.'!E15,'1bezr.'!E15)-1</f>
        <v>6</v>
      </c>
      <c r="W16" s="136" t="str">
        <f>INDEX('1bezr.'!B3:G28,MATCH(13,V4:V29,0),1)</f>
        <v>strzyżowski</v>
      </c>
      <c r="X16" s="6">
        <f>INDEX('1bezr.'!E3:G28,MATCH(13,V4:V29,0),1)</f>
        <v>-85</v>
      </c>
      <c r="Y16" s="135">
        <v>12</v>
      </c>
      <c r="Z16" s="2"/>
      <c r="AA16" s="6">
        <f>RANK('1bezr.'!C15,'1bezr.'!$C$3:'1bezr.'!$C$28,1)+COUNTIF('1bezr.'!$C$3:'1bezr.'!C15,'1bezr.'!C15)-1</f>
        <v>15</v>
      </c>
      <c r="AB16" s="121" t="str">
        <f>INDEX('1bezr.'!B3:G28,MATCH(13,AA4:AA29,0),1)</f>
        <v>ropczycko-sędziszowski</v>
      </c>
      <c r="AC16" s="6">
        <f>INDEX('1bezr.'!B3:K28,MATCH(13,AA4:AA29,0),2)</f>
        <v>2741</v>
      </c>
      <c r="AE16" s="6">
        <f>RANK('1bezr.'!C15,'1bezr.'!$C$3:'1bezr.'!$C$28,1)+COUNTIF('1bezr.'!$C$3:'1bezr.'!C15,'1bezr.'!C15)-1</f>
        <v>15</v>
      </c>
      <c r="AF16" s="121" t="str">
        <f>INDEX('1bezr.'!B3:G28,MATCH(13,AE4:AE29,0),1)</f>
        <v>ropczycko-sędziszowski</v>
      </c>
      <c r="AG16" s="6">
        <f>INDEX('1bezr.'!B3:K28,MATCH(13,AE4:AE29,0),2)</f>
        <v>2741</v>
      </c>
    </row>
    <row r="17" spans="2:33" x14ac:dyDescent="0.2">
      <c r="B17" s="6">
        <f>RANK('1bezr.'!C16,'1bezr.'!$C$3:'1bezr.'!$C$28,1)+COUNTIF('1bezr.'!$C$3:'1bezr.'!C16,'1bezr.'!C16)-1</f>
        <v>14</v>
      </c>
      <c r="C17" s="5" t="str">
        <f>INDEX('1bezr.'!B3:G28,MATCH(14,B4:B29,0),1)</f>
        <v>przemyski</v>
      </c>
      <c r="D17" s="6">
        <f>INDEX('1bezr.'!B3:G28,MATCH(14,B4:B29,0),2)</f>
        <v>2930</v>
      </c>
      <c r="E17" s="42">
        <f>INDEX('1bezr.'!B3:G28,MATCH(14,B4:B29,0),3)</f>
        <v>3067</v>
      </c>
      <c r="F17" s="6">
        <f>INDEX('1bezr.'!B3:G28,MATCH(14,B4:B29,0),4)</f>
        <v>-137</v>
      </c>
      <c r="G17" s="42">
        <f>INDEX('1bezr.'!B3:G28,MATCH(14,B4:B29,0),5)</f>
        <v>2935</v>
      </c>
      <c r="H17" s="6">
        <f>INDEX('1bezr.'!B3:G28,MATCH(14,B4:B29,0),6)</f>
        <v>-5</v>
      </c>
      <c r="V17" s="6">
        <f>RANK('1bezr.'!E16,'1bezr.'!$E$3:'1bezr.'!$E$28,1)+COUNTIF('1bezr.'!$E$3:'1bezr.'!E16,'1bezr.'!E16)-1</f>
        <v>5</v>
      </c>
      <c r="W17" s="136" t="str">
        <f>INDEX('1bezr.'!B3:G28,MATCH(14,V4:V29,0),1)</f>
        <v>rzeszowski</v>
      </c>
      <c r="X17" s="6">
        <f>INDEX('1bezr.'!E3:G28,MATCH(14,V4:V29,0),1)</f>
        <v>-77</v>
      </c>
      <c r="Y17" s="135">
        <v>13</v>
      </c>
      <c r="Z17" s="2"/>
      <c r="AA17" s="6">
        <f>RANK('1bezr.'!C16,'1bezr.'!$C$3:'1bezr.'!$C$28,1)+COUNTIF('1bezr.'!$C$3:'1bezr.'!C16,'1bezr.'!C16)-1</f>
        <v>14</v>
      </c>
      <c r="AB17" s="121" t="str">
        <f>INDEX('1bezr.'!B3:G28,MATCH(12,AA4:AA29,0),1)</f>
        <v>łańcucki</v>
      </c>
      <c r="AC17" s="6">
        <f>INDEX('1bezr.'!B3:K28,MATCH(12,AA4:AA29,0),2)</f>
        <v>2552</v>
      </c>
      <c r="AE17" s="6">
        <f>RANK('1bezr.'!C16,'1bezr.'!$C$3:'1bezr.'!$C$28,1)+COUNTIF('1bezr.'!$C$3:'1bezr.'!C16,'1bezr.'!C16)-1</f>
        <v>14</v>
      </c>
      <c r="AF17" s="121" t="str">
        <f>INDEX('1bezr.'!B3:G28,MATCH(14,AE4:AE29,0),1)</f>
        <v>przemyski</v>
      </c>
      <c r="AG17" s="6">
        <f>INDEX('1bezr.'!B3:K28,MATCH(14,AE4:AE29,0),2)</f>
        <v>2930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niżański</v>
      </c>
      <c r="D18" s="6">
        <f>INDEX('1bezr.'!B3:G28,MATCH(15,B4:B29,0),2)</f>
        <v>2997</v>
      </c>
      <c r="E18" s="42">
        <f>INDEX('1bezr.'!B3:G28,MATCH(15,B4:B29,0),3)</f>
        <v>3117</v>
      </c>
      <c r="F18" s="6">
        <f>INDEX('1bezr.'!B3:G28,MATCH(15,B4:B29,0),4)</f>
        <v>-120</v>
      </c>
      <c r="G18" s="42">
        <f>INDEX('1bezr.'!B3:G28,MATCH(15,B4:B29,0),5)</f>
        <v>2984</v>
      </c>
      <c r="H18" s="6">
        <f>INDEX('1bezr.'!B3:G28,MATCH(15,B4:B29,0),6)</f>
        <v>13</v>
      </c>
      <c r="V18" s="6">
        <f>RANK('1bezr.'!E17,'1bezr.'!$E$3:'1bezr.'!$E$28,1)+COUNTIF('1bezr.'!$E$3:'1bezr.'!E17,'1bezr.'!E17)-1</f>
        <v>20</v>
      </c>
      <c r="W18" s="136" t="str">
        <f>INDEX('1bezr.'!B3:G28,MATCH(15,V4:V29,0),1)</f>
        <v>Przemyśl</v>
      </c>
      <c r="X18" s="6">
        <f>INDEX('1bezr.'!E3:G28,MATCH(15,V4:V29,0),1)</f>
        <v>-76</v>
      </c>
      <c r="Y18" s="135">
        <v>14</v>
      </c>
      <c r="Z18" s="2"/>
      <c r="AA18" s="6">
        <f>RANK('1bezr.'!C17,'1bezr.'!$C$3:'1bezr.'!$C$28,1)+COUNTIF('1bezr.'!$C$3:'1bezr.'!C17,'1bezr.'!C17)-1</f>
        <v>20</v>
      </c>
      <c r="AB18" s="121" t="str">
        <f>INDEX('1bezr.'!B3:G28,MATCH(11,AA4:AA29,0),1)</f>
        <v>krośnieński</v>
      </c>
      <c r="AC18" s="6">
        <f>INDEX('1bezr.'!B3:K28,MATCH(11,AA4:AA29,0),2)</f>
        <v>2479</v>
      </c>
      <c r="AE18" s="6">
        <f>RANK('1bezr.'!C17,'1bezr.'!$C$3:'1bezr.'!$C$28,1)+COUNTIF('1bezr.'!$C$3:'1bezr.'!C17,'1bezr.'!C17)-1</f>
        <v>20</v>
      </c>
      <c r="AF18" s="121" t="str">
        <f>INDEX('1bezr.'!B3:G28,MATCH(15,AE4:AE29,0),1)</f>
        <v>niżański</v>
      </c>
      <c r="AG18" s="6">
        <f>INDEX('1bezr.'!B3:K28,MATCH(15,AE4:AE29,0),2)</f>
        <v>2997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leżajski</v>
      </c>
      <c r="D19" s="6">
        <f>INDEX('1bezr.'!B3:G28,MATCH(16,B4:B29,0),2)</f>
        <v>3010</v>
      </c>
      <c r="E19" s="42">
        <f>INDEX('1bezr.'!B3:G28,MATCH(16,B4:B29,0),3)</f>
        <v>3187</v>
      </c>
      <c r="F19" s="6">
        <f>INDEX('1bezr.'!B3:G28,MATCH(16,B4:B29,0),4)</f>
        <v>-177</v>
      </c>
      <c r="G19" s="42">
        <f>INDEX('1bezr.'!B3:G28,MATCH(16,B4:B29,0),5)</f>
        <v>3128</v>
      </c>
      <c r="H19" s="6">
        <f>INDEX('1bezr.'!B3:G28,MATCH(16,B4:B29,0),6)</f>
        <v>-118</v>
      </c>
      <c r="V19" s="6">
        <f>RANK('1bezr.'!E18,'1bezr.'!$E$3:'1bezr.'!$E$28,1)+COUNTIF('1bezr.'!$E$3:'1bezr.'!E18,'1bezr.'!E18)-1</f>
        <v>24</v>
      </c>
      <c r="W19" s="136" t="str">
        <f>INDEX('1bezr.'!B3:G28,MATCH(16,V4:V29,0),1)</f>
        <v>mielecki</v>
      </c>
      <c r="X19" s="6">
        <f>INDEX('1bezr.'!E3:G28,MATCH(16,V4:V29,0),1)</f>
        <v>-72</v>
      </c>
      <c r="Y19" s="135">
        <v>15</v>
      </c>
      <c r="Z19" s="2"/>
      <c r="AA19" s="6">
        <f>RANK('1bezr.'!C18,'1bezr.'!$C$3:'1bezr.'!$C$28,1)+COUNTIF('1bezr.'!$C$3:'1bezr.'!C18,'1bezr.'!C18)-1</f>
        <v>13</v>
      </c>
      <c r="AB19" s="121" t="str">
        <f>INDEX('1bezr.'!B3:G28,MATCH(10,AA4:AA29,0),1)</f>
        <v>dębicki</v>
      </c>
      <c r="AC19" s="6">
        <f>INDEX('1bezr.'!B3:K28,MATCH(10,AA4:AA29,0),2)</f>
        <v>2407</v>
      </c>
      <c r="AE19" s="6">
        <f>RANK('1bezr.'!C18,'1bezr.'!$C$3:'1bezr.'!$C$28,1)+COUNTIF('1bezr.'!$C$3:'1bezr.'!C18,'1bezr.'!C18)-1</f>
        <v>13</v>
      </c>
      <c r="AF19" s="121" t="str">
        <f>INDEX('1bezr.'!B3:G28,MATCH(16,AE4:AE29,0),1)</f>
        <v>leżajski</v>
      </c>
      <c r="AG19" s="6">
        <f>INDEX('1bezr.'!B3:K28,MATCH(16,AE4:AE29,0),2)</f>
        <v>3010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sanocki</v>
      </c>
      <c r="D20" s="6">
        <f>INDEX('1bezr.'!B3:G28,MATCH(17,B4:B29,0),2)</f>
        <v>3097</v>
      </c>
      <c r="E20" s="42">
        <f>INDEX('1bezr.'!B3:G28,MATCH(17,B4:B29,0),3)</f>
        <v>3080</v>
      </c>
      <c r="F20" s="6">
        <f>INDEX('1bezr.'!B3:G28,MATCH(17,B4:B29,0),4)</f>
        <v>17</v>
      </c>
      <c r="G20" s="42">
        <f>INDEX('1bezr.'!B3:G28,MATCH(17,B4:B29,0),5)</f>
        <v>2883</v>
      </c>
      <c r="H20" s="6">
        <f>INDEX('1bezr.'!B3:G28,MATCH(17,B4:B29,0),6)</f>
        <v>214</v>
      </c>
      <c r="V20" s="6">
        <f>RANK('1bezr.'!E19,'1bezr.'!$E$3:'1bezr.'!$E$28,1)+COUNTIF('1bezr.'!$E$3:'1bezr.'!E19,'1bezr.'!E19)-1</f>
        <v>14</v>
      </c>
      <c r="W20" s="136" t="str">
        <f>INDEX('1bezr.'!B3:G28,MATCH(17,V4:V29,0),1)</f>
        <v>krośnieński</v>
      </c>
      <c r="X20" s="6">
        <f>INDEX('1bezr.'!E3:G28,MATCH(17,V4:V29,0),1)</f>
        <v>-69</v>
      </c>
      <c r="Y20" s="135">
        <v>16</v>
      </c>
      <c r="Z20" s="2"/>
      <c r="AA20" s="6">
        <f>RANK('1bezr.'!C19,'1bezr.'!$C$3:'1bezr.'!$C$28,1)+COUNTIF('1bezr.'!$C$3:'1bezr.'!C19,'1bezr.'!C19)-1</f>
        <v>23</v>
      </c>
      <c r="AB20" s="121" t="str">
        <f>INDEX('1bezr.'!B3:G28,MATCH(9,AA4:AA29,0),1)</f>
        <v>Przemyśl</v>
      </c>
      <c r="AC20" s="6">
        <f>INDEX('1bezr.'!B3:K28,MATCH(9,AA4:AA29,0),2)</f>
        <v>2355</v>
      </c>
      <c r="AE20" s="6">
        <f>RANK('1bezr.'!C19,'1bezr.'!$C$3:'1bezr.'!$C$28,1)+COUNTIF('1bezr.'!$C$3:'1bezr.'!C19,'1bezr.'!C19)-1</f>
        <v>23</v>
      </c>
      <c r="AF20" s="121" t="str">
        <f>INDEX('1bezr.'!B3:G28,MATCH(17,AE4:AE29,0),1)</f>
        <v>sanocki</v>
      </c>
      <c r="AG20" s="6">
        <f>INDEX('1bezr.'!B3:K28,MATCH(17,AE4:AE29,0),2)</f>
        <v>3097</v>
      </c>
    </row>
    <row r="21" spans="2:33" x14ac:dyDescent="0.2">
      <c r="B21" s="6">
        <f>RANK('1bezr.'!C20,'1bezr.'!$C$3:'1bezr.'!$C$28,1)+COUNTIF('1bezr.'!$C$3:'1bezr.'!C20,'1bezr.'!C20)-1</f>
        <v>17</v>
      </c>
      <c r="C21" s="5" t="str">
        <f>INDEX('1bezr.'!B3:G28,MATCH(18,B4:B29,0),1)</f>
        <v>strzyżowski</v>
      </c>
      <c r="D21" s="6">
        <f>INDEX('1bezr.'!B3:G28,MATCH(18,B4:B29,0),2)</f>
        <v>3101</v>
      </c>
      <c r="E21" s="42">
        <f>INDEX('1bezr.'!B3:G28,MATCH(18,B4:B29,0),3)</f>
        <v>3186</v>
      </c>
      <c r="F21" s="6">
        <f>INDEX('1bezr.'!B3:G28,MATCH(18,B4:B29,0),4)</f>
        <v>-85</v>
      </c>
      <c r="G21" s="42">
        <f>INDEX('1bezr.'!B3:G28,MATCH(18,B4:B29,0),5)</f>
        <v>3133</v>
      </c>
      <c r="H21" s="6">
        <f>INDEX('1bezr.'!B3:G28,MATCH(18,B4:B29,0),6)</f>
        <v>-32</v>
      </c>
      <c r="V21" s="6">
        <f>RANK('1bezr.'!E20,'1bezr.'!$E$3:'1bezr.'!$E$28,1)+COUNTIF('1bezr.'!$E$3:'1bezr.'!E20,'1bezr.'!E20)-1</f>
        <v>26</v>
      </c>
      <c r="W21" s="136" t="str">
        <f>INDEX('1bezr.'!B3:G28,MATCH(18,V4:V29,0),1)</f>
        <v>leski</v>
      </c>
      <c r="X21" s="6">
        <f>INDEX('1bezr.'!E3:G28,MATCH(18,V4:V29,0),1)</f>
        <v>-62</v>
      </c>
      <c r="Y21" s="135">
        <v>17</v>
      </c>
      <c r="Z21" s="2"/>
      <c r="AA21" s="6">
        <f>RANK('1bezr.'!C20,'1bezr.'!$C$3:'1bezr.'!$C$28,1)+COUNTIF('1bezr.'!$C$3:'1bezr.'!C20,'1bezr.'!C20)-1</f>
        <v>17</v>
      </c>
      <c r="AB21" s="121" t="str">
        <f>INDEX('1bezr.'!B3:G28,MATCH(8,AA4:AA29,0),1)</f>
        <v>stalowowolski</v>
      </c>
      <c r="AC21" s="6">
        <f>INDEX('1bezr.'!B3:K28,MATCH(8,AA4:AA29,0),2)</f>
        <v>2304</v>
      </c>
      <c r="AE21" s="6">
        <f>RANK('1bezr.'!C20,'1bezr.'!$C$3:'1bezr.'!$C$28,1)+COUNTIF('1bezr.'!$C$3:'1bezr.'!C20,'1bezr.'!C20)-1</f>
        <v>17</v>
      </c>
      <c r="AF21" s="121" t="str">
        <f>INDEX('1bezr.'!B3:G28,MATCH(18,AE4:AE29,0),1)</f>
        <v>strzyżowski</v>
      </c>
      <c r="AG21" s="6">
        <f>INDEX('1bezr.'!B3:K28,MATCH(18,AE4:AE29,0),2)</f>
        <v>3101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mielecki</v>
      </c>
      <c r="D22" s="6">
        <f>INDEX('1bezr.'!B3:G28,MATCH(19,B4:B29,0),2)</f>
        <v>3166</v>
      </c>
      <c r="E22" s="42">
        <f>INDEX('1bezr.'!B3:G28,MATCH(19,B4:B29,0),3)</f>
        <v>3238</v>
      </c>
      <c r="F22" s="6">
        <f>INDEX('1bezr.'!B3:G28,MATCH(19,B4:B29,0),4)</f>
        <v>-72</v>
      </c>
      <c r="G22" s="42">
        <f>INDEX('1bezr.'!B3:G28,MATCH(19,B4:B29,0),5)</f>
        <v>2948</v>
      </c>
      <c r="H22" s="6">
        <f>INDEX('1bezr.'!B3:G28,MATCH(19,B4:B29,0),6)</f>
        <v>218</v>
      </c>
      <c r="V22" s="6">
        <f>RANK('1bezr.'!E21,'1bezr.'!$E$3:'1bezr.'!$E$28,1)+COUNTIF('1bezr.'!$E$3:'1bezr.'!E21,'1bezr.'!E21)-1</f>
        <v>21</v>
      </c>
      <c r="W22" s="136" t="str">
        <f>INDEX('1bezr.'!B3:G28,MATCH(19,V4:V29,0),1)</f>
        <v>Tarnobrzeg</v>
      </c>
      <c r="X22" s="6">
        <f>INDEX('1bezr.'!E3:G28,MATCH(19,V4:V29,0),1)</f>
        <v>-62</v>
      </c>
      <c r="Y22" s="135">
        <v>18</v>
      </c>
      <c r="Z22" s="2"/>
      <c r="AA22" s="6">
        <f>RANK('1bezr.'!C21,'1bezr.'!$C$3:'1bezr.'!$C$28,1)+COUNTIF('1bezr.'!$C$3:'1bezr.'!C21,'1bezr.'!C21)-1</f>
        <v>8</v>
      </c>
      <c r="AB22" s="121" t="str">
        <f>INDEX('1bezr.'!B3:G28,MATCH(7,AA4:AA29,0),1)</f>
        <v>lubaczowski</v>
      </c>
      <c r="AC22" s="6">
        <f>INDEX('1bezr.'!B3:K28,MATCH(7,AA4:AA29,0),2)</f>
        <v>1708</v>
      </c>
      <c r="AE22" s="6">
        <f>RANK('1bezr.'!C21,'1bezr.'!$C$3:'1bezr.'!$C$28,1)+COUNTIF('1bezr.'!$C$3:'1bezr.'!C21,'1bezr.'!C21)-1</f>
        <v>8</v>
      </c>
      <c r="AF22" s="121" t="str">
        <f>INDEX('1bezr.'!B3:G28,MATCH(19,AE4:AE29,0),1)</f>
        <v>mielecki</v>
      </c>
      <c r="AG22" s="6">
        <f>INDEX('1bezr.'!B3:K28,MATCH(19,AE4:AE29,0),2)</f>
        <v>3166</v>
      </c>
    </row>
    <row r="23" spans="2:33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3391</v>
      </c>
      <c r="E23" s="42">
        <f>INDEX('1bezr.'!B3:G28,MATCH(20,B4:B29,0),3)</f>
        <v>3438</v>
      </c>
      <c r="F23" s="6">
        <f>INDEX('1bezr.'!B3:G28,MATCH(20,B4:B29,0),4)</f>
        <v>-47</v>
      </c>
      <c r="G23" s="42">
        <f>INDEX('1bezr.'!B3:G28,MATCH(20,B4:B29,0),5)</f>
        <v>3199</v>
      </c>
      <c r="H23" s="6">
        <f>INDEX('1bezr.'!B3:G28,MATCH(20,B4:B29,0),6)</f>
        <v>192</v>
      </c>
      <c r="V23" s="6">
        <f>RANK('1bezr.'!E22,'1bezr.'!$E$3:'1bezr.'!$E$28,1)+COUNTIF('1bezr.'!$E$3:'1bezr.'!E22,'1bezr.'!E22)-1</f>
        <v>13</v>
      </c>
      <c r="W23" s="136" t="str">
        <f>INDEX('1bezr.'!B3:G28,MATCH(20,V4:V29,0),1)</f>
        <v>przeworski</v>
      </c>
      <c r="X23" s="6">
        <f>INDEX('1bezr.'!E3:G28,MATCH(20,V4:V29,0),1)</f>
        <v>-47</v>
      </c>
      <c r="Y23" s="135">
        <v>19</v>
      </c>
      <c r="Z23" s="2"/>
      <c r="AA23" s="6">
        <f>RANK('1bezr.'!C22,'1bezr.'!$C$3:'1bezr.'!$C$28,1)+COUNTIF('1bezr.'!$C$3:'1bezr.'!C22,'1bezr.'!C22)-1</f>
        <v>18</v>
      </c>
      <c r="AB23" s="121" t="str">
        <f>INDEX('1bezr.'!B3:G28,MATCH(6,AA4:AA29,0),1)</f>
        <v>leski</v>
      </c>
      <c r="AC23" s="6">
        <f>INDEX('1bezr.'!B3:K28,MATCH(6,AA4:AA29,0),2)</f>
        <v>1701</v>
      </c>
      <c r="AE23" s="6">
        <f>RANK('1bezr.'!C22,'1bezr.'!$C$3:'1bezr.'!$C$28,1)+COUNTIF('1bezr.'!$C$3:'1bezr.'!C22,'1bezr.'!C22)-1</f>
        <v>18</v>
      </c>
      <c r="AF23" s="121" t="str">
        <f>INDEX('1bezr.'!B3:G28,MATCH(20,AE4:AE29,0),1)</f>
        <v>przeworski</v>
      </c>
      <c r="AG23" s="6">
        <f>INDEX('1bezr.'!B3:K28,MATCH(20,AE4:AE29,0),2)</f>
        <v>3391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3773</v>
      </c>
      <c r="E24" s="42">
        <f>INDEX('1bezr.'!B3:G28,MATCH(21,B4:B29,0),3)</f>
        <v>3912</v>
      </c>
      <c r="F24" s="6">
        <f>INDEX('1bezr.'!B3:G28,MATCH(21,B4:B29,0),4)</f>
        <v>-139</v>
      </c>
      <c r="G24" s="42">
        <f>INDEX('1bezr.'!B3:G28,MATCH(21,B4:B29,0),5)</f>
        <v>3778</v>
      </c>
      <c r="H24" s="6">
        <f>INDEX('1bezr.'!B3:G28,MATCH(21,B4:B29,0),6)</f>
        <v>-5</v>
      </c>
      <c r="V24" s="6">
        <f>RANK('1bezr.'!E23,'1bezr.'!$E$3:'1bezr.'!$E$28,1)+COUNTIF('1bezr.'!$E$3:'1bezr.'!E23,'1bezr.'!E23)-1</f>
        <v>8</v>
      </c>
      <c r="W24" s="136" t="str">
        <f>INDEX('1bezr.'!B3:G28,MATCH(21,V4:V29,0),1)</f>
        <v>stalowowolski</v>
      </c>
      <c r="X24" s="6">
        <f>INDEX('1bezr.'!E3:G28,MATCH(21,V4:V29,0),1)</f>
        <v>-27</v>
      </c>
      <c r="Y24" s="135">
        <v>20</v>
      </c>
      <c r="Z24" s="2"/>
      <c r="AA24" s="6">
        <f>RANK('1bezr.'!C23,'1bezr.'!$C$3:'1bezr.'!$C$28,1)+COUNTIF('1bezr.'!$C$3:'1bezr.'!C23,'1bezr.'!C23)-1</f>
        <v>4</v>
      </c>
      <c r="AB24" s="121" t="str">
        <f>INDEX('1bezr.'!B3:G28,MATCH(5,AA4:AA29,0),1)</f>
        <v>kolbuszowski</v>
      </c>
      <c r="AC24" s="6">
        <f>INDEX('1bezr.'!B3:K28,MATCH(5,AA4:AA29,0),2)</f>
        <v>1625</v>
      </c>
      <c r="AE24" s="6">
        <f>RANK('1bezr.'!C23,'1bezr.'!$C$3:'1bezr.'!$C$28,1)+COUNTIF('1bezr.'!$C$3:'1bezr.'!C23,'1bezr.'!C23)-1</f>
        <v>4</v>
      </c>
      <c r="AF24" s="121" t="str">
        <f>INDEX('1bezr.'!B3:G28,MATCH(21,AE4:AE29,0),1)</f>
        <v>brzozowski</v>
      </c>
      <c r="AG24" s="6">
        <f>INDEX('1bezr.'!B3:K28,MATCH(21,AE4:AE29,0),2)</f>
        <v>3773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4643</v>
      </c>
      <c r="E25" s="42">
        <f>INDEX('1bezr.'!B3:G28,MATCH(22,B4:B29,0),3)</f>
        <v>4930</v>
      </c>
      <c r="F25" s="6">
        <f>INDEX('1bezr.'!B3:G28,MATCH(22,B4:B29,0),4)</f>
        <v>-287</v>
      </c>
      <c r="G25" s="42">
        <f>INDEX('1bezr.'!B3:G28,MATCH(22,B4:B29,0),5)</f>
        <v>4469</v>
      </c>
      <c r="H25" s="6">
        <f>INDEX('1bezr.'!B3:G28,MATCH(22,B4:B29,0),6)</f>
        <v>174</v>
      </c>
      <c r="V25" s="6">
        <f>RANK('1bezr.'!E24,'1bezr.'!$E$3:'1bezr.'!$E$28,1)+COUNTIF('1bezr.'!$E$3:'1bezr.'!E24,'1bezr.'!E24)-1</f>
        <v>22</v>
      </c>
      <c r="W25" s="136" t="str">
        <f>INDEX('1bezr.'!B3:G28,MATCH(22,V4:V29,0),1)</f>
        <v>Krosno</v>
      </c>
      <c r="X25" s="6">
        <f>INDEX('1bezr.'!E3:G28,MATCH(22,V4:V29,0),1)</f>
        <v>-15</v>
      </c>
      <c r="Y25" s="135">
        <v>21</v>
      </c>
      <c r="Z25" s="2"/>
      <c r="AA25" s="6">
        <f>RANK('1bezr.'!C24,'1bezr.'!$C$3:'1bezr.'!$C$28,1)+COUNTIF('1bezr.'!$C$3:'1bezr.'!C24,'1bezr.'!C24)-1</f>
        <v>1</v>
      </c>
      <c r="AB25" s="121" t="str">
        <f>INDEX('1bezr.'!B3:G28,MATCH(4,AA4:AA29,0),1)</f>
        <v xml:space="preserve">tarnobrzeski </v>
      </c>
      <c r="AC25" s="6">
        <f>INDEX('1bezr.'!B3:K28,MATCH(4,AA4:AA29,0),2)</f>
        <v>1253</v>
      </c>
      <c r="AE25" s="6">
        <f>RANK('1bezr.'!C24,'1bezr.'!$C$3:'1bezr.'!$C$28,1)+COUNTIF('1bezr.'!$C$3:'1bezr.'!C24,'1bezr.'!C24)-1</f>
        <v>1</v>
      </c>
      <c r="AF25" s="121" t="str">
        <f>INDEX('1bezr.'!B3:G28,MATCH(22,AE4:AE29,0),1)</f>
        <v>jarosławski</v>
      </c>
      <c r="AG25" s="6">
        <f>INDEX('1bezr.'!B3:K28,MATCH(22,AE4:AE29,0),2)</f>
        <v>4643</v>
      </c>
    </row>
    <row r="26" spans="2:33" x14ac:dyDescent="0.2">
      <c r="B26" s="6">
        <f>RANK('1bezr.'!C25,'1bezr.'!$C$3:'1bezr.'!$C$28,1)+COUNTIF('1bezr.'!$C$3:'1bezr.'!C25,'1bezr.'!C25)-1</f>
        <v>9</v>
      </c>
      <c r="C26" s="5" t="str">
        <f>INDEX('1bezr.'!B3:G28,MATCH(23,B4:B29,0),1)</f>
        <v>rzeszowski</v>
      </c>
      <c r="D26" s="6">
        <f>INDEX('1bezr.'!B3:G28,MATCH(23,B4:B29,0),2)</f>
        <v>4650</v>
      </c>
      <c r="E26" s="42">
        <f>INDEX('1bezr.'!B3:G28,MATCH(23,B4:B29,0),3)</f>
        <v>4727</v>
      </c>
      <c r="F26" s="6">
        <f>INDEX('1bezr.'!B3:G28,MATCH(23,B4:B29,0),4)</f>
        <v>-77</v>
      </c>
      <c r="G26" s="42">
        <f>INDEX('1bezr.'!B3:G28,MATCH(23,B4:B29,0),5)</f>
        <v>4709</v>
      </c>
      <c r="H26" s="6">
        <f>INDEX('1bezr.'!B3:G28,MATCH(23,B4:B29,0),6)</f>
        <v>-59</v>
      </c>
      <c r="V26" s="6">
        <f>RANK('1bezr.'!E25,'1bezr.'!$E$3:'1bezr.'!$E$28,1)+COUNTIF('1bezr.'!$E$3:'1bezr.'!E25,'1bezr.'!E25)-1</f>
        <v>15</v>
      </c>
      <c r="W26" s="136" t="str">
        <f>INDEX('1bezr.'!B3:G28,MATCH(23,V4:V29,0),1)</f>
        <v>Rzeszów</v>
      </c>
      <c r="X26" s="6">
        <f>INDEX('1bezr.'!E3:G28,MATCH(23,V4:V29,0),1)</f>
        <v>-14</v>
      </c>
      <c r="Y26" s="135">
        <v>22</v>
      </c>
      <c r="Z26" s="2"/>
      <c r="AA26" s="6">
        <f>RANK('1bezr.'!C25,'1bezr.'!$C$3:'1bezr.'!$C$28,1)+COUNTIF('1bezr.'!$C$3:'1bezr.'!C25,'1bezr.'!C25)-1</f>
        <v>9</v>
      </c>
      <c r="AB26" s="121" t="str">
        <f>INDEX('1bezr.'!B3:G28,MATCH(3,AA4:AA29,0),1)</f>
        <v>bieszczadzki</v>
      </c>
      <c r="AC26" s="6">
        <f>INDEX('1bezr.'!B3:K28,MATCH(3,AA4:AA29,0),2)</f>
        <v>1095</v>
      </c>
      <c r="AE26" s="6">
        <f>RANK('1bezr.'!C25,'1bezr.'!$C$3:'1bezr.'!$C$28,1)+COUNTIF('1bezr.'!$C$3:'1bezr.'!C25,'1bezr.'!C25)-1</f>
        <v>9</v>
      </c>
      <c r="AF26" s="121" t="str">
        <f>INDEX('1bezr.'!B3:G28,MATCH(23,AE4:AE29,0),1)</f>
        <v>rzeszowski</v>
      </c>
      <c r="AG26" s="6">
        <f>INDEX('1bezr.'!B3:K28,MATCH(23,AE4:AE29,0),2)</f>
        <v>4650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4996</v>
      </c>
      <c r="E27" s="42">
        <f>INDEX('1bezr.'!B3:G28,MATCH(24,B4:B29,0),3)</f>
        <v>5092</v>
      </c>
      <c r="F27" s="6">
        <f>INDEX('1bezr.'!B3:G28,MATCH(24,B4:B29,0),4)</f>
        <v>-96</v>
      </c>
      <c r="G27" s="42">
        <f>INDEX('1bezr.'!B3:G28,MATCH(24,B4:B29,0),5)</f>
        <v>5146</v>
      </c>
      <c r="H27" s="6">
        <f>INDEX('1bezr.'!B3:G28,MATCH(24,B4:B29,0),6)</f>
        <v>-150</v>
      </c>
      <c r="V27" s="6">
        <f>RANK('1bezr.'!E26,'1bezr.'!$E$3:'1bezr.'!$E$28,1)+COUNTIF('1bezr.'!$E$3:'1bezr.'!E26,'1bezr.'!E26)-1</f>
        <v>23</v>
      </c>
      <c r="W27" s="136" t="str">
        <f>INDEX('1bezr.'!B3:G28,MATCH(24,V4:V29,0),1)</f>
        <v>ropczycko-sędziszowski</v>
      </c>
      <c r="X27" s="6">
        <f>INDEX('1bezr.'!E3:G28,MATCH(24,V4:V29,0),1)</f>
        <v>-2</v>
      </c>
      <c r="Y27" s="135">
        <v>23</v>
      </c>
      <c r="Z27" s="2"/>
      <c r="AA27" s="6">
        <f>RANK('1bezr.'!C26,'1bezr.'!$C$3:'1bezr.'!$C$28,1)+COUNTIF('1bezr.'!$C$3:'1bezr.'!C26,'1bezr.'!C26)-1</f>
        <v>25</v>
      </c>
      <c r="AB27" s="121" t="str">
        <f>INDEX('1bezr.'!B3:G28,MATCH(2,AA4:AA29,0),1)</f>
        <v>Tarnobrzeg</v>
      </c>
      <c r="AC27" s="6">
        <f>INDEX('1bezr.'!B3:K28,MATCH(2,AA4:AA29,0),2)</f>
        <v>1048</v>
      </c>
      <c r="AE27" s="6">
        <f>RANK('1bezr.'!C26,'1bezr.'!$C$3:'1bezr.'!$C$28,1)+COUNTIF('1bezr.'!$C$3:'1bezr.'!C26,'1bezr.'!C26)-1</f>
        <v>25</v>
      </c>
      <c r="AF27" s="121" t="str">
        <f>INDEX('1bezr.'!B3:G28,MATCH(24,AE4:AE29,0),1)</f>
        <v>jasielski</v>
      </c>
      <c r="AG27" s="6">
        <f>INDEX('1bezr.'!B3:K28,MATCH(24,AE4:AE29,0),2)</f>
        <v>4996</v>
      </c>
    </row>
    <row r="28" spans="2:33" x14ac:dyDescent="0.2">
      <c r="B28" s="6">
        <f>RANK('1bezr.'!C27,'1bezr.'!$C$3:'1bezr.'!$C$28,1)+COUNTIF('1bezr.'!$C$3:'1bezr.'!C27,'1bezr.'!C27)-1</f>
        <v>2</v>
      </c>
      <c r="C28" s="5" t="str">
        <f>INDEX('1bezr.'!B3:G28,MATCH(25,B4:B29,0),1)</f>
        <v>Rzeszów</v>
      </c>
      <c r="D28" s="6">
        <f>INDEX('1bezr.'!B3:G28,MATCH(25,B4:B29,0),2)</f>
        <v>5127</v>
      </c>
      <c r="E28" s="42">
        <f>INDEX('1bezr.'!B3:G28,MATCH(25,B4:B29,0),3)</f>
        <v>5141</v>
      </c>
      <c r="F28" s="6">
        <f>INDEX('1bezr.'!B3:G28,MATCH(25,B4:B29,0),4)</f>
        <v>-14</v>
      </c>
      <c r="G28" s="42">
        <f>INDEX('1bezr.'!B3:G28,MATCH(25,B4:B29,0),5)</f>
        <v>5114</v>
      </c>
      <c r="H28" s="6">
        <f>INDEX('1bezr.'!B3:G28,MATCH(25,B4:B29,0),6)</f>
        <v>13</v>
      </c>
      <c r="V28" s="165">
        <f>RANK('1bezr.'!E27,'1bezr.'!$E$3:'1bezr.'!$E$28,1)+COUNTIF('1bezr.'!$E$3:'1bezr.'!E27,'1bezr.'!E27)-1</f>
        <v>19</v>
      </c>
      <c r="W28" s="169" t="str">
        <f>INDEX('1bezr.'!B3:G28,MATCH(25,V4:V29,0),1)</f>
        <v>kolbuszowski</v>
      </c>
      <c r="X28" s="165">
        <f>INDEX('1bezr.'!E3:G28,MATCH(25,V4:V29,0),1)</f>
        <v>2</v>
      </c>
      <c r="Y28" s="166">
        <v>1</v>
      </c>
      <c r="Z28" s="2"/>
      <c r="AA28" s="6">
        <f>RANK('1bezr.'!C27,'1bezr.'!$C$3:'1bezr.'!$C$28,1)+COUNTIF('1bezr.'!$C$3:'1bezr.'!C27,'1bezr.'!C27)-1</f>
        <v>2</v>
      </c>
      <c r="AB28" s="121" t="str">
        <f>INDEX('1bezr.'!B3:G28,MATCH(1,AA4:AA29,0),1)</f>
        <v>Krosno</v>
      </c>
      <c r="AC28" s="6">
        <f>INDEX('1bezr.'!B3:K28,MATCH(1,AA4:AA29,0),2)</f>
        <v>882</v>
      </c>
      <c r="AE28" s="6">
        <f>RANK('1bezr.'!C27,'1bezr.'!$C$3:'1bezr.'!$C$28,1)+COUNTIF('1bezr.'!$C$3:'1bezr.'!C27,'1bezr.'!C27)-1</f>
        <v>2</v>
      </c>
      <c r="AF28" s="121" t="str">
        <f>INDEX('1bezr.'!B3:G28,MATCH(25,AE4:AE29,0),1)</f>
        <v>Rzeszów</v>
      </c>
      <c r="AG28" s="6">
        <f>INDEX('1bezr.'!B3:K28,MATCH(25,AE4:AE29,0),2)</f>
        <v>5127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69031</v>
      </c>
      <c r="E29" s="44">
        <f>INDEX('1bezr.'!B3:G28,MATCH(26,B4:B29,0),3)</f>
        <v>71030</v>
      </c>
      <c r="F29" s="40">
        <f>INDEX('1bezr.'!B3:G28,MATCH(26,B4:B29,0),4)</f>
        <v>-1999</v>
      </c>
      <c r="G29" s="44">
        <f>INDEX('1bezr.'!B3:G28,MATCH(26,B4:B29,0),5)</f>
        <v>68399</v>
      </c>
      <c r="H29" s="40">
        <f>INDEX('1bezr.'!B3:G28,MATCH(26,B4:B29,0),6)</f>
        <v>632</v>
      </c>
      <c r="V29" s="165">
        <f>RANK('1bezr.'!E28,'1bezr.'!$E$3:'1bezr.'!$E$28,1)+COUNTIF('1bezr.'!$E$3:'1bezr.'!E28,'1bezr.'!E28)-1</f>
        <v>1</v>
      </c>
      <c r="W29" s="170" t="str">
        <f>INDEX('1bezr.'!B3:G28,MATCH(26,V4:V29,0),1)</f>
        <v>sanocki</v>
      </c>
      <c r="X29" s="165">
        <f>INDEX('1bezr.'!E3:G28,MATCH(26,V4:V29,0),1)</f>
        <v>17</v>
      </c>
      <c r="Y29" s="166">
        <v>2</v>
      </c>
      <c r="Z29" s="2"/>
      <c r="AA29" s="124">
        <f>RANK('1bezr.'!C28,'1bezr.'!$C$3:'1bezr.'!$C$28,1)+COUNTIF('1bezr.'!$C$3:'1bezr.'!C28,'1bezr.'!C28)-1</f>
        <v>26</v>
      </c>
      <c r="AB29" s="143" t="str">
        <f>INDEX('1bezr.'!B3:G28,MATCH(26,AA4:AA29,0),1)</f>
        <v>województwo</v>
      </c>
      <c r="AC29" s="124">
        <f>INDEX('1bezr.'!B3:K28,MATCH(26,AA4:AA29,0),2)</f>
        <v>69031</v>
      </c>
      <c r="AE29" s="124">
        <f>RANK('1bezr.'!C28,'1bezr.'!$C$3:'1bezr.'!$C$28,1)+COUNTIF('1bezr.'!$C$3:'1bezr.'!C28,'1bezr.'!C28)-1</f>
        <v>26</v>
      </c>
      <c r="AF29" s="143" t="str">
        <f>INDEX('1bezr.'!B3:G28,MATCH(26,AE4:AE29,0),1)</f>
        <v>województwo</v>
      </c>
      <c r="AG29" s="124">
        <f>INDEX('1bezr.'!B3:K28,MATCH(26,AE4:AE29,0),2)</f>
        <v>69031</v>
      </c>
    </row>
    <row r="30" spans="2:33" x14ac:dyDescent="0.2">
      <c r="F30" s="19"/>
      <c r="H30" s="19"/>
      <c r="X30" s="49">
        <f>SUM(X4:X28)</f>
        <v>-4015</v>
      </c>
      <c r="Y30" s="49"/>
      <c r="AC30" s="144">
        <f>SUM(AC4:AC28)</f>
        <v>69031</v>
      </c>
      <c r="AG30" s="144">
        <f>SUM(AG4:AG28)</f>
        <v>69031</v>
      </c>
    </row>
    <row r="31" spans="2:33" x14ac:dyDescent="0.2">
      <c r="X31" s="49"/>
    </row>
    <row r="32" spans="2:33" x14ac:dyDescent="0.2">
      <c r="X32" s="19"/>
    </row>
  </sheetData>
  <mergeCells count="1">
    <mergeCell ref="V1:Y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80</v>
      </c>
      <c r="D2" s="38" t="s">
        <v>72</v>
      </c>
      <c r="E2" s="37" t="s">
        <v>28</v>
      </c>
      <c r="F2" s="38" t="s">
        <v>81</v>
      </c>
      <c r="G2" s="37" t="s">
        <v>26</v>
      </c>
      <c r="I2" s="36" t="s">
        <v>27</v>
      </c>
      <c r="J2" s="37" t="str">
        <f>T('1bezr.'!C2)</f>
        <v>liczba bezrobotnych ogółem stan na 31-03-'25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523</v>
      </c>
      <c r="D3" s="42">
        <v>579</v>
      </c>
      <c r="E3" s="6">
        <f t="shared" ref="E3:E26" si="0">SUM(C3)-D3</f>
        <v>-56</v>
      </c>
      <c r="F3" s="42">
        <v>523</v>
      </c>
      <c r="G3" s="6">
        <f t="shared" ref="G3:G26" si="1">SUM(C3)-F3</f>
        <v>0</v>
      </c>
      <c r="I3" s="5" t="s">
        <v>0</v>
      </c>
      <c r="J3" s="6">
        <f>SUM('1bezr.'!C3)</f>
        <v>1095</v>
      </c>
      <c r="K3" s="6">
        <f>SUM(C3)</f>
        <v>523</v>
      </c>
      <c r="L3" s="23">
        <f t="shared" ref="L3:L28" si="2">SUM(K3)/J3*100</f>
        <v>47.762557077625573</v>
      </c>
    </row>
    <row r="4" spans="2:12" x14ac:dyDescent="0.2">
      <c r="B4" s="5" t="s">
        <v>1</v>
      </c>
      <c r="C4" s="6">
        <v>1828</v>
      </c>
      <c r="D4" s="42">
        <v>1905</v>
      </c>
      <c r="E4" s="6">
        <f t="shared" si="0"/>
        <v>-77</v>
      </c>
      <c r="F4" s="42">
        <v>1873</v>
      </c>
      <c r="G4" s="6">
        <f t="shared" si="1"/>
        <v>-45</v>
      </c>
      <c r="I4" s="5" t="s">
        <v>1</v>
      </c>
      <c r="J4" s="6">
        <f>SUM('1bezr.'!C4)</f>
        <v>3773</v>
      </c>
      <c r="K4" s="6">
        <f t="shared" ref="K4:K27" si="3">SUM(C4)</f>
        <v>1828</v>
      </c>
      <c r="L4" s="23">
        <f t="shared" si="2"/>
        <v>48.449509673999472</v>
      </c>
    </row>
    <row r="5" spans="2:12" x14ac:dyDescent="0.2">
      <c r="B5" s="5" t="s">
        <v>2</v>
      </c>
      <c r="C5" s="6">
        <v>1420</v>
      </c>
      <c r="D5" s="42">
        <v>1475</v>
      </c>
      <c r="E5" s="6">
        <f t="shared" si="0"/>
        <v>-55</v>
      </c>
      <c r="F5" s="42">
        <v>1462</v>
      </c>
      <c r="G5" s="6">
        <f t="shared" si="1"/>
        <v>-42</v>
      </c>
      <c r="I5" s="5" t="s">
        <v>2</v>
      </c>
      <c r="J5" s="6">
        <f>SUM('1bezr.'!C5)</f>
        <v>2407</v>
      </c>
      <c r="K5" s="6">
        <f t="shared" si="3"/>
        <v>1420</v>
      </c>
      <c r="L5" s="23">
        <f t="shared" si="2"/>
        <v>58.99459908599917</v>
      </c>
    </row>
    <row r="6" spans="2:12" x14ac:dyDescent="0.2">
      <c r="B6" s="5" t="s">
        <v>3</v>
      </c>
      <c r="C6" s="6">
        <v>2345</v>
      </c>
      <c r="D6" s="42">
        <v>2522</v>
      </c>
      <c r="E6" s="6">
        <f t="shared" si="0"/>
        <v>-177</v>
      </c>
      <c r="F6" s="42">
        <v>2288</v>
      </c>
      <c r="G6" s="6">
        <f t="shared" si="1"/>
        <v>57</v>
      </c>
      <c r="I6" s="5" t="s">
        <v>3</v>
      </c>
      <c r="J6" s="6">
        <f>SUM('1bezr.'!C6)</f>
        <v>4643</v>
      </c>
      <c r="K6" s="6">
        <f t="shared" si="3"/>
        <v>2345</v>
      </c>
      <c r="L6" s="23">
        <f t="shared" si="2"/>
        <v>50.50613827266853</v>
      </c>
    </row>
    <row r="7" spans="2:12" x14ac:dyDescent="0.2">
      <c r="B7" s="5" t="s">
        <v>4</v>
      </c>
      <c r="C7" s="6">
        <v>2803</v>
      </c>
      <c r="D7" s="42">
        <v>2853</v>
      </c>
      <c r="E7" s="6">
        <f t="shared" si="0"/>
        <v>-50</v>
      </c>
      <c r="F7" s="42">
        <v>2911</v>
      </c>
      <c r="G7" s="6">
        <f t="shared" si="1"/>
        <v>-108</v>
      </c>
      <c r="I7" s="5" t="s">
        <v>4</v>
      </c>
      <c r="J7" s="6">
        <f>SUM('1bezr.'!C7)</f>
        <v>4996</v>
      </c>
      <c r="K7" s="6">
        <f t="shared" si="3"/>
        <v>2803</v>
      </c>
      <c r="L7" s="23">
        <f t="shared" si="2"/>
        <v>56.104883907125704</v>
      </c>
    </row>
    <row r="8" spans="2:12" x14ac:dyDescent="0.2">
      <c r="B8" s="5" t="s">
        <v>5</v>
      </c>
      <c r="C8" s="6">
        <v>749</v>
      </c>
      <c r="D8" s="42">
        <v>751</v>
      </c>
      <c r="E8" s="6">
        <f t="shared" si="0"/>
        <v>-2</v>
      </c>
      <c r="F8" s="42">
        <v>744</v>
      </c>
      <c r="G8" s="6">
        <f t="shared" si="1"/>
        <v>5</v>
      </c>
      <c r="I8" s="5" t="s">
        <v>5</v>
      </c>
      <c r="J8" s="6">
        <f>SUM('1bezr.'!C8)</f>
        <v>1625</v>
      </c>
      <c r="K8" s="6">
        <f t="shared" si="3"/>
        <v>749</v>
      </c>
      <c r="L8" s="23">
        <f>SUM(K8)/J8*100</f>
        <v>46.092307692307692</v>
      </c>
    </row>
    <row r="9" spans="2:12" x14ac:dyDescent="0.2">
      <c r="B9" s="9" t="s">
        <v>6</v>
      </c>
      <c r="C9" s="6">
        <v>1351</v>
      </c>
      <c r="D9" s="42">
        <v>1380</v>
      </c>
      <c r="E9" s="6">
        <f t="shared" si="0"/>
        <v>-29</v>
      </c>
      <c r="F9" s="42">
        <v>1272</v>
      </c>
      <c r="G9" s="6">
        <f t="shared" si="1"/>
        <v>79</v>
      </c>
      <c r="I9" s="9" t="s">
        <v>6</v>
      </c>
      <c r="J9" s="6">
        <f>SUM('1bezr.'!C9)</f>
        <v>2479</v>
      </c>
      <c r="K9" s="6">
        <f t="shared" si="3"/>
        <v>1351</v>
      </c>
      <c r="L9" s="23">
        <f t="shared" si="2"/>
        <v>54.497781363453001</v>
      </c>
    </row>
    <row r="10" spans="2:12" x14ac:dyDescent="0.2">
      <c r="B10" s="5" t="s">
        <v>7</v>
      </c>
      <c r="C10" s="6">
        <v>817</v>
      </c>
      <c r="D10" s="42">
        <v>836</v>
      </c>
      <c r="E10" s="6">
        <f t="shared" si="0"/>
        <v>-19</v>
      </c>
      <c r="F10" s="42">
        <v>806</v>
      </c>
      <c r="G10" s="6">
        <f t="shared" si="1"/>
        <v>11</v>
      </c>
      <c r="I10" s="5" t="s">
        <v>7</v>
      </c>
      <c r="J10" s="6">
        <f>SUM('1bezr.'!C10)</f>
        <v>1701</v>
      </c>
      <c r="K10" s="6">
        <f t="shared" si="3"/>
        <v>817</v>
      </c>
      <c r="L10" s="23">
        <f t="shared" si="2"/>
        <v>48.030570252792479</v>
      </c>
    </row>
    <row r="11" spans="2:12" x14ac:dyDescent="0.2">
      <c r="B11" s="5" t="s">
        <v>8</v>
      </c>
      <c r="C11" s="6">
        <v>1521</v>
      </c>
      <c r="D11" s="42">
        <v>1645</v>
      </c>
      <c r="E11" s="6">
        <f t="shared" si="0"/>
        <v>-124</v>
      </c>
      <c r="F11" s="42">
        <v>1591</v>
      </c>
      <c r="G11" s="6">
        <f t="shared" si="1"/>
        <v>-70</v>
      </c>
      <c r="I11" s="5" t="s">
        <v>8</v>
      </c>
      <c r="J11" s="6">
        <f>SUM('1bezr.'!C11)</f>
        <v>3010</v>
      </c>
      <c r="K11" s="6">
        <f t="shared" si="3"/>
        <v>1521</v>
      </c>
      <c r="L11" s="23">
        <f t="shared" si="2"/>
        <v>50.53156146179402</v>
      </c>
    </row>
    <row r="12" spans="2:12" x14ac:dyDescent="0.2">
      <c r="B12" s="5" t="s">
        <v>9</v>
      </c>
      <c r="C12" s="6">
        <v>766</v>
      </c>
      <c r="D12" s="42">
        <v>815</v>
      </c>
      <c r="E12" s="6">
        <f t="shared" si="0"/>
        <v>-49</v>
      </c>
      <c r="F12" s="42">
        <v>812</v>
      </c>
      <c r="G12" s="6">
        <f t="shared" si="1"/>
        <v>-46</v>
      </c>
      <c r="I12" s="5" t="s">
        <v>9</v>
      </c>
      <c r="J12" s="6">
        <f>SUM('1bezr.'!C12)</f>
        <v>1708</v>
      </c>
      <c r="K12" s="6">
        <f t="shared" si="3"/>
        <v>766</v>
      </c>
      <c r="L12" s="23">
        <f t="shared" si="2"/>
        <v>44.847775175644031</v>
      </c>
    </row>
    <row r="13" spans="2:12" x14ac:dyDescent="0.2">
      <c r="B13" s="5" t="s">
        <v>10</v>
      </c>
      <c r="C13" s="6">
        <v>1185</v>
      </c>
      <c r="D13" s="42">
        <v>1225</v>
      </c>
      <c r="E13" s="6">
        <f t="shared" si="0"/>
        <v>-40</v>
      </c>
      <c r="F13" s="42">
        <v>1218</v>
      </c>
      <c r="G13" s="6">
        <f t="shared" si="1"/>
        <v>-33</v>
      </c>
      <c r="I13" s="5" t="s">
        <v>10</v>
      </c>
      <c r="J13" s="6">
        <f>SUM('1bezr.'!C13)</f>
        <v>2552</v>
      </c>
      <c r="K13" s="6">
        <f t="shared" si="3"/>
        <v>1185</v>
      </c>
      <c r="L13" s="23">
        <f t="shared" si="2"/>
        <v>46.434169278996869</v>
      </c>
    </row>
    <row r="14" spans="2:12" x14ac:dyDescent="0.2">
      <c r="B14" s="5" t="s">
        <v>11</v>
      </c>
      <c r="C14" s="6">
        <v>1529</v>
      </c>
      <c r="D14" s="42">
        <v>1562</v>
      </c>
      <c r="E14" s="6">
        <f t="shared" si="0"/>
        <v>-33</v>
      </c>
      <c r="F14" s="42">
        <v>1433</v>
      </c>
      <c r="G14" s="6">
        <f t="shared" si="1"/>
        <v>96</v>
      </c>
      <c r="I14" s="5" t="s">
        <v>11</v>
      </c>
      <c r="J14" s="6">
        <f>SUM('1bezr.'!C14)</f>
        <v>3166</v>
      </c>
      <c r="K14" s="6">
        <f t="shared" si="3"/>
        <v>1529</v>
      </c>
      <c r="L14" s="23">
        <f t="shared" si="2"/>
        <v>48.294377763739732</v>
      </c>
    </row>
    <row r="15" spans="2:12" x14ac:dyDescent="0.2">
      <c r="B15" s="5" t="s">
        <v>12</v>
      </c>
      <c r="C15" s="6">
        <v>1492</v>
      </c>
      <c r="D15" s="42">
        <v>1553</v>
      </c>
      <c r="E15" s="6">
        <f t="shared" si="0"/>
        <v>-61</v>
      </c>
      <c r="F15" s="42">
        <v>1507</v>
      </c>
      <c r="G15" s="6">
        <f t="shared" si="1"/>
        <v>-15</v>
      </c>
      <c r="I15" s="5" t="s">
        <v>12</v>
      </c>
      <c r="J15" s="6">
        <f>SUM('1bezr.'!C15)</f>
        <v>2997</v>
      </c>
      <c r="K15" s="6">
        <f t="shared" si="3"/>
        <v>1492</v>
      </c>
      <c r="L15" s="23">
        <f t="shared" si="2"/>
        <v>49.783116449783115</v>
      </c>
    </row>
    <row r="16" spans="2:12" x14ac:dyDescent="0.2">
      <c r="B16" s="5" t="s">
        <v>13</v>
      </c>
      <c r="C16" s="6">
        <v>1405</v>
      </c>
      <c r="D16" s="42">
        <v>1465</v>
      </c>
      <c r="E16" s="6">
        <f t="shared" si="0"/>
        <v>-60</v>
      </c>
      <c r="F16" s="42">
        <v>1473</v>
      </c>
      <c r="G16" s="6">
        <f t="shared" si="1"/>
        <v>-68</v>
      </c>
      <c r="I16" s="5" t="s">
        <v>13</v>
      </c>
      <c r="J16" s="6">
        <f>SUM('1bezr.'!C16)</f>
        <v>2930</v>
      </c>
      <c r="K16" s="6">
        <f t="shared" si="3"/>
        <v>1405</v>
      </c>
      <c r="L16" s="23">
        <f t="shared" si="2"/>
        <v>47.952218430034129</v>
      </c>
    </row>
    <row r="17" spans="2:12" x14ac:dyDescent="0.2">
      <c r="B17" s="5" t="s">
        <v>14</v>
      </c>
      <c r="C17" s="6">
        <v>1769</v>
      </c>
      <c r="D17" s="42">
        <v>1788</v>
      </c>
      <c r="E17" s="6">
        <f t="shared" si="0"/>
        <v>-19</v>
      </c>
      <c r="F17" s="42">
        <v>1691</v>
      </c>
      <c r="G17" s="6">
        <f t="shared" si="1"/>
        <v>78</v>
      </c>
      <c r="I17" s="5" t="s">
        <v>14</v>
      </c>
      <c r="J17" s="6">
        <f>SUM('1bezr.'!C17)</f>
        <v>3391</v>
      </c>
      <c r="K17" s="6">
        <f t="shared" si="3"/>
        <v>1769</v>
      </c>
      <c r="L17" s="23">
        <f t="shared" si="2"/>
        <v>52.167502211736952</v>
      </c>
    </row>
    <row r="18" spans="2:12" x14ac:dyDescent="0.2">
      <c r="B18" s="5" t="s">
        <v>15</v>
      </c>
      <c r="C18" s="6">
        <v>1378</v>
      </c>
      <c r="D18" s="42">
        <v>1384</v>
      </c>
      <c r="E18" s="6">
        <f t="shared" si="0"/>
        <v>-6</v>
      </c>
      <c r="F18" s="42">
        <v>1324</v>
      </c>
      <c r="G18" s="6">
        <f t="shared" si="1"/>
        <v>54</v>
      </c>
      <c r="I18" s="5" t="s">
        <v>15</v>
      </c>
      <c r="J18" s="6">
        <f>SUM('1bezr.'!C18)</f>
        <v>2741</v>
      </c>
      <c r="K18" s="6">
        <f t="shared" si="3"/>
        <v>1378</v>
      </c>
      <c r="L18" s="23">
        <f t="shared" si="2"/>
        <v>50.273622765414082</v>
      </c>
    </row>
    <row r="19" spans="2:12" x14ac:dyDescent="0.2">
      <c r="B19" s="5" t="s">
        <v>16</v>
      </c>
      <c r="C19" s="6">
        <v>2162</v>
      </c>
      <c r="D19" s="42">
        <v>2227</v>
      </c>
      <c r="E19" s="6">
        <f t="shared" si="0"/>
        <v>-65</v>
      </c>
      <c r="F19" s="42">
        <v>2231</v>
      </c>
      <c r="G19" s="6">
        <f t="shared" si="1"/>
        <v>-69</v>
      </c>
      <c r="I19" s="5" t="s">
        <v>16</v>
      </c>
      <c r="J19" s="6">
        <f>SUM('1bezr.'!C19)</f>
        <v>4650</v>
      </c>
      <c r="K19" s="6">
        <f t="shared" si="3"/>
        <v>2162</v>
      </c>
      <c r="L19" s="23">
        <f t="shared" si="2"/>
        <v>46.494623655913983</v>
      </c>
    </row>
    <row r="20" spans="2:12" x14ac:dyDescent="0.2">
      <c r="B20" s="5" t="s">
        <v>17</v>
      </c>
      <c r="C20" s="6">
        <v>1493</v>
      </c>
      <c r="D20" s="42">
        <v>1497</v>
      </c>
      <c r="E20" s="6">
        <f t="shared" si="0"/>
        <v>-4</v>
      </c>
      <c r="F20" s="42">
        <v>1412</v>
      </c>
      <c r="G20" s="6">
        <f t="shared" si="1"/>
        <v>81</v>
      </c>
      <c r="I20" s="5" t="s">
        <v>17</v>
      </c>
      <c r="J20" s="6">
        <f>SUM('1bezr.'!C20)</f>
        <v>3097</v>
      </c>
      <c r="K20" s="6">
        <f t="shared" si="3"/>
        <v>1493</v>
      </c>
      <c r="L20" s="23">
        <f t="shared" si="2"/>
        <v>48.207943170810466</v>
      </c>
    </row>
    <row r="21" spans="2:12" x14ac:dyDescent="0.2">
      <c r="B21" s="5" t="s">
        <v>18</v>
      </c>
      <c r="C21" s="6">
        <v>1167</v>
      </c>
      <c r="D21" s="42">
        <v>1175</v>
      </c>
      <c r="E21" s="6">
        <f t="shared" si="0"/>
        <v>-8</v>
      </c>
      <c r="F21" s="42">
        <v>1045</v>
      </c>
      <c r="G21" s="6">
        <f t="shared" si="1"/>
        <v>122</v>
      </c>
      <c r="I21" s="5" t="s">
        <v>18</v>
      </c>
      <c r="J21" s="6">
        <f>SUM('1bezr.'!C21)</f>
        <v>2304</v>
      </c>
      <c r="K21" s="6">
        <f t="shared" si="3"/>
        <v>1167</v>
      </c>
      <c r="L21" s="23">
        <f t="shared" si="2"/>
        <v>50.651041666666664</v>
      </c>
    </row>
    <row r="22" spans="2:12" x14ac:dyDescent="0.2">
      <c r="B22" s="5" t="s">
        <v>19</v>
      </c>
      <c r="C22" s="6">
        <v>1521</v>
      </c>
      <c r="D22" s="42">
        <v>1556</v>
      </c>
      <c r="E22" s="6">
        <f t="shared" si="0"/>
        <v>-35</v>
      </c>
      <c r="F22" s="42">
        <v>1554</v>
      </c>
      <c r="G22" s="6">
        <f t="shared" si="1"/>
        <v>-33</v>
      </c>
      <c r="I22" s="5" t="s">
        <v>19</v>
      </c>
      <c r="J22" s="6">
        <f>SUM('1bezr.'!C22)</f>
        <v>3101</v>
      </c>
      <c r="K22" s="6">
        <f t="shared" si="3"/>
        <v>1521</v>
      </c>
      <c r="L22" s="23">
        <f t="shared" si="2"/>
        <v>49.048693969687193</v>
      </c>
    </row>
    <row r="23" spans="2:12" x14ac:dyDescent="0.2">
      <c r="B23" s="5" t="s">
        <v>20</v>
      </c>
      <c r="C23" s="6">
        <v>608</v>
      </c>
      <c r="D23" s="42">
        <v>667</v>
      </c>
      <c r="E23" s="6">
        <f t="shared" si="0"/>
        <v>-59</v>
      </c>
      <c r="F23" s="42">
        <v>665</v>
      </c>
      <c r="G23" s="6">
        <f t="shared" si="1"/>
        <v>-57</v>
      </c>
      <c r="I23" s="5" t="s">
        <v>20</v>
      </c>
      <c r="J23" s="6">
        <f>SUM('1bezr.'!C23)</f>
        <v>1253</v>
      </c>
      <c r="K23" s="6">
        <f t="shared" si="3"/>
        <v>608</v>
      </c>
      <c r="L23" s="23">
        <f t="shared" si="2"/>
        <v>48.523543495610532</v>
      </c>
    </row>
    <row r="24" spans="2:12" x14ac:dyDescent="0.2">
      <c r="B24" s="5" t="s">
        <v>21</v>
      </c>
      <c r="C24" s="6">
        <v>465</v>
      </c>
      <c r="D24" s="42">
        <v>471</v>
      </c>
      <c r="E24" s="6">
        <f t="shared" si="0"/>
        <v>-6</v>
      </c>
      <c r="F24" s="42">
        <v>474</v>
      </c>
      <c r="G24" s="6">
        <f t="shared" si="1"/>
        <v>-9</v>
      </c>
      <c r="I24" s="5" t="s">
        <v>21</v>
      </c>
      <c r="J24" s="6">
        <f>SUM('1bezr.'!C24)</f>
        <v>882</v>
      </c>
      <c r="K24" s="6">
        <f t="shared" si="3"/>
        <v>465</v>
      </c>
      <c r="L24" s="23">
        <f t="shared" si="2"/>
        <v>52.721088435374156</v>
      </c>
    </row>
    <row r="25" spans="2:12" x14ac:dyDescent="0.2">
      <c r="B25" s="5" t="s">
        <v>22</v>
      </c>
      <c r="C25" s="6">
        <v>1080</v>
      </c>
      <c r="D25" s="42">
        <v>1131</v>
      </c>
      <c r="E25" s="6">
        <f t="shared" si="0"/>
        <v>-51</v>
      </c>
      <c r="F25" s="42">
        <v>1141</v>
      </c>
      <c r="G25" s="6">
        <f t="shared" si="1"/>
        <v>-61</v>
      </c>
      <c r="I25" s="5" t="s">
        <v>22</v>
      </c>
      <c r="J25" s="6">
        <f>SUM('1bezr.'!C25)</f>
        <v>2355</v>
      </c>
      <c r="K25" s="6">
        <f t="shared" si="3"/>
        <v>1080</v>
      </c>
      <c r="L25" s="23">
        <f t="shared" si="2"/>
        <v>45.859872611464972</v>
      </c>
    </row>
    <row r="26" spans="2:12" x14ac:dyDescent="0.2">
      <c r="B26" s="5" t="s">
        <v>23</v>
      </c>
      <c r="C26" s="6">
        <v>2557</v>
      </c>
      <c r="D26" s="42">
        <v>2558</v>
      </c>
      <c r="E26" s="6">
        <f t="shared" si="0"/>
        <v>-1</v>
      </c>
      <c r="F26" s="42">
        <v>2571</v>
      </c>
      <c r="G26" s="6">
        <f t="shared" si="1"/>
        <v>-14</v>
      </c>
      <c r="I26" s="5" t="s">
        <v>23</v>
      </c>
      <c r="J26" s="6">
        <f>SUM('1bezr.'!C26)</f>
        <v>5127</v>
      </c>
      <c r="K26" s="6">
        <f t="shared" si="3"/>
        <v>2557</v>
      </c>
      <c r="L26" s="23">
        <f t="shared" si="2"/>
        <v>49.873220206748584</v>
      </c>
    </row>
    <row r="27" spans="2:12" x14ac:dyDescent="0.2">
      <c r="B27" s="5" t="s">
        <v>24</v>
      </c>
      <c r="C27" s="6">
        <v>517</v>
      </c>
      <c r="D27" s="42">
        <v>545</v>
      </c>
      <c r="E27" s="6">
        <f>SUM(C27)-D27</f>
        <v>-28</v>
      </c>
      <c r="F27" s="42">
        <v>561</v>
      </c>
      <c r="G27" s="6">
        <f>SUM(C27)-F27</f>
        <v>-44</v>
      </c>
      <c r="I27" s="5" t="s">
        <v>24</v>
      </c>
      <c r="J27" s="6">
        <f>SUM('1bezr.'!C27)</f>
        <v>1048</v>
      </c>
      <c r="K27" s="6">
        <f t="shared" si="3"/>
        <v>517</v>
      </c>
      <c r="L27" s="23">
        <f t="shared" si="2"/>
        <v>49.332061068702288</v>
      </c>
    </row>
    <row r="28" spans="2:12" ht="15" x14ac:dyDescent="0.25">
      <c r="B28" s="39" t="s">
        <v>25</v>
      </c>
      <c r="C28" s="40">
        <f>SUM(C3:C27)</f>
        <v>34451</v>
      </c>
      <c r="D28" s="41">
        <f>SUM(D3:D27)</f>
        <v>35565</v>
      </c>
      <c r="E28" s="40">
        <f>SUM(E3:E27)</f>
        <v>-1114</v>
      </c>
      <c r="F28" s="41">
        <f>SUM(F3:F27)</f>
        <v>34582</v>
      </c>
      <c r="G28" s="40">
        <f>SUM(G3:G27)</f>
        <v>-131</v>
      </c>
      <c r="I28" s="39" t="s">
        <v>25</v>
      </c>
      <c r="J28" s="40">
        <f>SUM(J3:J27)</f>
        <v>69031</v>
      </c>
      <c r="K28" s="40">
        <f>SUM(K3:K27)</f>
        <v>34451</v>
      </c>
      <c r="L28" s="45">
        <f t="shared" si="2"/>
        <v>49.906563717749997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31-03-'25 r.</v>
      </c>
      <c r="E3" s="36" t="str">
        <f>T('2kob.'!D2)</f>
        <v>liczba bezrobotnych kobiet stan na 28-02-'25 r.</v>
      </c>
      <c r="F3" s="36" t="str">
        <f>T('2kob.'!E2)</f>
        <v>wzrost/spadek do poprzedniego  miesiąca</v>
      </c>
      <c r="G3" s="36" t="str">
        <f>T('2kob.'!F2)</f>
        <v>liczba bezrobotnych kobiet stan na 31-03-'24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3</v>
      </c>
      <c r="C4" s="5" t="str">
        <f>INDEX('2kob.'!B3:G28,MATCH(1,B4:B29,0),1)</f>
        <v>Krosno</v>
      </c>
      <c r="D4" s="24">
        <f>INDEX('2kob.'!B3:G28,MATCH(1,B4:B29,0),2)</f>
        <v>465</v>
      </c>
      <c r="E4" s="42">
        <f>INDEX('2kob.'!B3:G28,MATCH(1,B4:B29,0),3)</f>
        <v>471</v>
      </c>
      <c r="F4" s="6">
        <f>INDEX('2kob.'!B3:G28,MATCH(1,B4:B29,0),4)</f>
        <v>-6</v>
      </c>
      <c r="G4" s="42">
        <f>INDEX('2kob.'!B3:G28,MATCH(1,B4:B29,0),5)</f>
        <v>474</v>
      </c>
      <c r="H4" s="6">
        <f>INDEX('2kob.'!B3:G28,MATCH(1,B4:B29,0),6)</f>
        <v>-9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Tarnobrzeg</v>
      </c>
      <c r="D5" s="6">
        <f>INDEX('2kob.'!B3:G28,MATCH(2,B4:B29,0),2)</f>
        <v>517</v>
      </c>
      <c r="E5" s="42">
        <f>INDEX('2kob.'!B3:G28,MATCH(2,B4:B29,0),3)</f>
        <v>545</v>
      </c>
      <c r="F5" s="6">
        <f>INDEX('2kob.'!B3:G28,MATCH(2,B4:B29,0),4)</f>
        <v>-28</v>
      </c>
      <c r="G5" s="42">
        <f>INDEX('2kob.'!B3:G28,MATCH(2,B4:B29,0),5)</f>
        <v>561</v>
      </c>
      <c r="H5" s="6">
        <f>INDEX('2kob.'!B3:G28,MATCH(2,B4:B29,0),6)</f>
        <v>-44</v>
      </c>
    </row>
    <row r="6" spans="2:8" x14ac:dyDescent="0.2">
      <c r="B6" s="6">
        <f>RANK('2kob.'!C5,'2kob.'!$C$3:'2kob.'!$C$28,1)+COUNTIF('2kob.'!$C$3:'2kob.'!C5,'2kob.'!C5)-1</f>
        <v>14</v>
      </c>
      <c r="C6" s="5" t="str">
        <f>INDEX('2kob.'!B3:G28,MATCH(3,B4:B29,0),1)</f>
        <v>bieszczadzki</v>
      </c>
      <c r="D6" s="6">
        <f>INDEX('2kob.'!B3:G28,MATCH(3,B4:B29,0),2)</f>
        <v>523</v>
      </c>
      <c r="E6" s="42">
        <f>INDEX('2kob.'!B3:G28,MATCH(3,B4:B29,0),3)</f>
        <v>579</v>
      </c>
      <c r="F6" s="6">
        <f>INDEX('2kob.'!B3:G28,MATCH(3,B4:B29,0),4)</f>
        <v>-56</v>
      </c>
      <c r="G6" s="42">
        <f>INDEX('2kob.'!B3:G28,MATCH(3,B4:B29,0),5)</f>
        <v>523</v>
      </c>
      <c r="H6" s="6">
        <f>INDEX('2kob.'!B3:G28,MATCH(3,B4:B29,0),6)</f>
        <v>0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608</v>
      </c>
      <c r="E7" s="42">
        <f>INDEX('2kob.'!B3:G28,MATCH(4,B4:B29,0),3)</f>
        <v>667</v>
      </c>
      <c r="F7" s="6">
        <f>INDEX('2kob.'!B3:G28,MATCH(4,B4:B29,0),4)</f>
        <v>-59</v>
      </c>
      <c r="G7" s="42">
        <f>INDEX('2kob.'!B3:G28,MATCH(4,B4:B29,0),5)</f>
        <v>665</v>
      </c>
      <c r="H7" s="6">
        <f>INDEX('2kob.'!B3:G28,MATCH(4,B4:B29,0),6)</f>
        <v>-57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749</v>
      </c>
      <c r="E8" s="42">
        <f>INDEX('2kob.'!B3:G28,MATCH(5,B4:B29,0),3)</f>
        <v>751</v>
      </c>
      <c r="F8" s="6">
        <f>INDEX('2kob.'!B3:G28,MATCH(5,B4:B29,0),4)</f>
        <v>-2</v>
      </c>
      <c r="G8" s="42">
        <f>INDEX('2kob.'!B3:G28,MATCH(5,B4:B29,0),5)</f>
        <v>744</v>
      </c>
      <c r="H8" s="6">
        <f>INDEX('2kob.'!B3:G28,MATCH(5,B4:B29,0),6)</f>
        <v>5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lubaczowski</v>
      </c>
      <c r="D9" s="6">
        <f>INDEX('2kob.'!B3:G28,MATCH(6,B4:B29,0),2)</f>
        <v>766</v>
      </c>
      <c r="E9" s="42">
        <f>INDEX('2kob.'!B3:G28,MATCH(6,B4:B29,0),3)</f>
        <v>815</v>
      </c>
      <c r="F9" s="6">
        <f>INDEX('2kob.'!B3:G28,MATCH(6,B4:B29,0),4)</f>
        <v>-49</v>
      </c>
      <c r="G9" s="42">
        <f>INDEX('2kob.'!B3:G28,MATCH(6,B4:B29,0),5)</f>
        <v>812</v>
      </c>
      <c r="H9" s="6">
        <f>INDEX('2kob.'!B3:G28,MATCH(6,B4:B29,0),6)</f>
        <v>-46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leski</v>
      </c>
      <c r="D10" s="6">
        <f>INDEX('2kob.'!B3:G28,MATCH(7,B4:B29,0),2)</f>
        <v>817</v>
      </c>
      <c r="E10" s="42">
        <f>INDEX('2kob.'!B3:G28,MATCH(7,B4:B29,0),3)</f>
        <v>836</v>
      </c>
      <c r="F10" s="6">
        <f>INDEX('2kob.'!B3:G28,MATCH(7,B4:B29,0),4)</f>
        <v>-19</v>
      </c>
      <c r="G10" s="42">
        <f>INDEX('2kob.'!B3:G28,MATCH(7,B4:B29,0),5)</f>
        <v>806</v>
      </c>
      <c r="H10" s="6">
        <f>INDEX('2kob.'!B3:G28,MATCH(7,B4:B29,0),6)</f>
        <v>11</v>
      </c>
    </row>
    <row r="11" spans="2:8" x14ac:dyDescent="0.2">
      <c r="B11" s="6">
        <f>RANK('2kob.'!C10,'2kob.'!$C$3:'2kob.'!$C$28,1)+COUNTIF('2kob.'!$C$3:'2kob.'!C10,'2kob.'!C10)-1</f>
        <v>7</v>
      </c>
      <c r="C11" s="5" t="str">
        <f>INDEX('2kob.'!B3:G28,MATCH(8,B4:B29,0),1)</f>
        <v>Przemyśl</v>
      </c>
      <c r="D11" s="6">
        <f>INDEX('2kob.'!B3:G28,MATCH(8,B4:B29,0),2)</f>
        <v>1080</v>
      </c>
      <c r="E11" s="42">
        <f>INDEX('2kob.'!B3:G28,MATCH(8,B4:B29,0),3)</f>
        <v>1131</v>
      </c>
      <c r="F11" s="6">
        <f>INDEX('2kob.'!B3:G28,MATCH(8,B4:B29,0),4)</f>
        <v>-51</v>
      </c>
      <c r="G11" s="42">
        <f>INDEX('2kob.'!B3:G28,MATCH(8,B4:B29,0),5)</f>
        <v>1141</v>
      </c>
      <c r="H11" s="6">
        <f>INDEX('2kob.'!B3:G28,MATCH(8,B4:B29,0),6)</f>
        <v>-61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stalowowolski</v>
      </c>
      <c r="D12" s="6">
        <f>INDEX('2kob.'!B3:G28,MATCH(9,B4:B29,0),2)</f>
        <v>1167</v>
      </c>
      <c r="E12" s="42">
        <f>INDEX('2kob.'!B3:G28,MATCH(9,B4:B29,0),3)</f>
        <v>1175</v>
      </c>
      <c r="F12" s="6">
        <f>INDEX('2kob.'!B3:G28,MATCH(9,B4:B29,0),4)</f>
        <v>-8</v>
      </c>
      <c r="G12" s="42">
        <f>INDEX('2kob.'!B3:G28,MATCH(9,B4:B29,0),5)</f>
        <v>1045</v>
      </c>
      <c r="H12" s="6">
        <f>INDEX('2kob.'!B3:G28,MATCH(9,B4:B29,0),6)</f>
        <v>122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łańcucki</v>
      </c>
      <c r="D13" s="6">
        <f>INDEX('2kob.'!B3:G28,MATCH(10,B4:B29,0),2)</f>
        <v>1185</v>
      </c>
      <c r="E13" s="42">
        <f>INDEX('2kob.'!B3:G28,MATCH(10,B4:B29,0),3)</f>
        <v>1225</v>
      </c>
      <c r="F13" s="6">
        <f>INDEX('2kob.'!B3:G28,MATCH(10,B4:B29,0),4)</f>
        <v>-40</v>
      </c>
      <c r="G13" s="42">
        <f>INDEX('2kob.'!B3:G28,MATCH(10,B4:B29,0),5)</f>
        <v>1218</v>
      </c>
      <c r="H13" s="6">
        <f>INDEX('2kob.'!B3:G28,MATCH(10,B4:B29,0),6)</f>
        <v>-33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1351</v>
      </c>
      <c r="E14" s="42">
        <f>INDEX('2kob.'!B3:G28,MATCH(11,B4:B29,0),3)</f>
        <v>1380</v>
      </c>
      <c r="F14" s="6">
        <f>INDEX('2kob.'!B3:G28,MATCH(11,B4:B29,0),4)</f>
        <v>-29</v>
      </c>
      <c r="G14" s="42">
        <f>INDEX('2kob.'!B3:G28,MATCH(11,B4:B29,0),5)</f>
        <v>1272</v>
      </c>
      <c r="H14" s="6">
        <f>INDEX('2kob.'!B3:G28,MATCH(11,B4:B29,0),6)</f>
        <v>79</v>
      </c>
    </row>
    <row r="15" spans="2:8" x14ac:dyDescent="0.2">
      <c r="B15" s="6">
        <f>RANK('2kob.'!C14,'2kob.'!$C$3:'2kob.'!$C$28,1)+COUNTIF('2kob.'!$C$3:'2kob.'!C14,'2kob.'!C14)-1</f>
        <v>19</v>
      </c>
      <c r="C15" s="5" t="str">
        <f>INDEX('2kob.'!B3:G28,MATCH(12,B4:B29,0),1)</f>
        <v>ropczycko-sędziszowski</v>
      </c>
      <c r="D15" s="6">
        <f>INDEX('2kob.'!B3:G28,MATCH(12,B4:B29,0),2)</f>
        <v>1378</v>
      </c>
      <c r="E15" s="42">
        <f>INDEX('2kob.'!B3:G28,MATCH(12,B4:B29,0),3)</f>
        <v>1384</v>
      </c>
      <c r="F15" s="6">
        <f>INDEX('2kob.'!B3:G28,MATCH(12,B4:B29,0),4)</f>
        <v>-6</v>
      </c>
      <c r="G15" s="42">
        <f>INDEX('2kob.'!B3:G28,MATCH(12,B4:B29,0),5)</f>
        <v>1324</v>
      </c>
      <c r="H15" s="6">
        <f>INDEX('2kob.'!B3:G28,MATCH(12,B4:B29,0),6)</f>
        <v>54</v>
      </c>
    </row>
    <row r="16" spans="2:8" x14ac:dyDescent="0.2">
      <c r="B16" s="6">
        <f>RANK('2kob.'!C15,'2kob.'!$C$3:'2kob.'!$C$28,1)+COUNTIF('2kob.'!$C$3:'2kob.'!C15,'2kob.'!C15)-1</f>
        <v>15</v>
      </c>
      <c r="C16" s="5" t="str">
        <f>INDEX('2kob.'!B3:G28,MATCH(13,B4:B29,0),1)</f>
        <v>przemyski</v>
      </c>
      <c r="D16" s="6">
        <f>INDEX('2kob.'!B3:G28,MATCH(13,B4:B29,0),2)</f>
        <v>1405</v>
      </c>
      <c r="E16" s="42">
        <f>INDEX('2kob.'!B3:G28,MATCH(13,B4:B29,0),3)</f>
        <v>1465</v>
      </c>
      <c r="F16" s="6">
        <f>INDEX('2kob.'!B3:G28,MATCH(13,B4:B29,0),4)</f>
        <v>-60</v>
      </c>
      <c r="G16" s="42">
        <f>INDEX('2kob.'!B3:G28,MATCH(13,B4:B29,0),5)</f>
        <v>1473</v>
      </c>
      <c r="H16" s="6">
        <f>INDEX('2kob.'!B3:G28,MATCH(13,B4:B29,0),6)</f>
        <v>-68</v>
      </c>
    </row>
    <row r="17" spans="2:8" x14ac:dyDescent="0.2">
      <c r="B17" s="6">
        <f>RANK('2kob.'!C16,'2kob.'!$C$3:'2kob.'!$C$28,1)+COUNTIF('2kob.'!$C$3:'2kob.'!C16,'2kob.'!C16)-1</f>
        <v>13</v>
      </c>
      <c r="C17" s="5" t="str">
        <f>INDEX('2kob.'!B3:G28,MATCH(14,B4:B29,0),1)</f>
        <v>dębicki</v>
      </c>
      <c r="D17" s="6">
        <f>INDEX('2kob.'!B3:G28,MATCH(14,B4:B29,0),2)</f>
        <v>1420</v>
      </c>
      <c r="E17" s="42">
        <f>INDEX('2kob.'!B3:G28,MATCH(14,B4:B29,0),3)</f>
        <v>1475</v>
      </c>
      <c r="F17" s="6">
        <f>INDEX('2kob.'!B3:G28,MATCH(14,B4:B29,0),4)</f>
        <v>-55</v>
      </c>
      <c r="G17" s="42">
        <f>INDEX('2kob.'!B3:G28,MATCH(14,B4:B29,0),5)</f>
        <v>1462</v>
      </c>
      <c r="H17" s="6">
        <f>INDEX('2kob.'!B3:G28,MATCH(14,B4:B29,0),6)</f>
        <v>-42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niżański</v>
      </c>
      <c r="D18" s="6">
        <f>INDEX('2kob.'!B3:G28,MATCH(15,B4:B29,0),2)</f>
        <v>1492</v>
      </c>
      <c r="E18" s="42">
        <f>INDEX('2kob.'!B3:G28,MATCH(15,B4:B29,0),3)</f>
        <v>1553</v>
      </c>
      <c r="F18" s="6">
        <f>INDEX('2kob.'!B3:G28,MATCH(15,B4:B29,0),4)</f>
        <v>-61</v>
      </c>
      <c r="G18" s="42">
        <f>INDEX('2kob.'!B3:G28,MATCH(15,B4:B29,0),5)</f>
        <v>1507</v>
      </c>
      <c r="H18" s="6">
        <f>INDEX('2kob.'!B3:G28,MATCH(15,B4:B29,0),6)</f>
        <v>-15</v>
      </c>
    </row>
    <row r="19" spans="2:8" x14ac:dyDescent="0.2">
      <c r="B19" s="6">
        <f>RANK('2kob.'!C18,'2kob.'!$C$3:'2kob.'!$C$28,1)+COUNTIF('2kob.'!$C$3:'2kob.'!C18,'2kob.'!C18)-1</f>
        <v>12</v>
      </c>
      <c r="C19" s="5" t="str">
        <f>INDEX('2kob.'!B3:G28,MATCH(16,B4:B29,0),1)</f>
        <v>sanocki</v>
      </c>
      <c r="D19" s="6">
        <f>INDEX('2kob.'!B3:G28,MATCH(16,B4:B29,0),2)</f>
        <v>1493</v>
      </c>
      <c r="E19" s="42">
        <f>INDEX('2kob.'!B3:G28,MATCH(16,B4:B29,0),3)</f>
        <v>1497</v>
      </c>
      <c r="F19" s="6">
        <f>INDEX('2kob.'!B3:G28,MATCH(16,B4:B29,0),4)</f>
        <v>-4</v>
      </c>
      <c r="G19" s="42">
        <f>INDEX('2kob.'!B3:G28,MATCH(16,B4:B29,0),5)</f>
        <v>1412</v>
      </c>
      <c r="H19" s="6">
        <f>INDEX('2kob.'!B3:G28,MATCH(16,B4:B29,0),6)</f>
        <v>81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leżajski</v>
      </c>
      <c r="D20" s="6">
        <f>INDEX('2kob.'!B3:G28,MATCH(17,B4:B29,0),2)</f>
        <v>1521</v>
      </c>
      <c r="E20" s="42">
        <f>INDEX('2kob.'!B3:G28,MATCH(17,B4:B29,0),3)</f>
        <v>1645</v>
      </c>
      <c r="F20" s="6">
        <f>INDEX('2kob.'!B3:G28,MATCH(17,B4:B29,0),4)</f>
        <v>-124</v>
      </c>
      <c r="G20" s="42">
        <f>INDEX('2kob.'!B3:G28,MATCH(17,B4:B29,0),5)</f>
        <v>1591</v>
      </c>
      <c r="H20" s="6">
        <f>INDEX('2kob.'!B3:G28,MATCH(17,B4:B29,0),6)</f>
        <v>-70</v>
      </c>
    </row>
    <row r="21" spans="2:8" x14ac:dyDescent="0.2">
      <c r="B21" s="6">
        <f>RANK('2kob.'!C20,'2kob.'!$C$3:'2kob.'!$C$28,1)+COUNTIF('2kob.'!$C$3:'2kob.'!C20,'2kob.'!C20)-1</f>
        <v>16</v>
      </c>
      <c r="C21" s="5" t="str">
        <f>INDEX('2kob.'!B3:G28,MATCH(18,B4:B29,0),1)</f>
        <v>strzyżowski</v>
      </c>
      <c r="D21" s="6">
        <f>INDEX('2kob.'!B3:G28,MATCH(18,B4:B29,0),2)</f>
        <v>1521</v>
      </c>
      <c r="E21" s="42">
        <f>INDEX('2kob.'!B3:G28,MATCH(18,B4:B29,0),3)</f>
        <v>1556</v>
      </c>
      <c r="F21" s="6">
        <f>INDEX('2kob.'!B3:G28,MATCH(18,B4:B29,0),4)</f>
        <v>-35</v>
      </c>
      <c r="G21" s="42">
        <f>INDEX('2kob.'!B3:G28,MATCH(18,B4:B29,0),5)</f>
        <v>1554</v>
      </c>
      <c r="H21" s="6">
        <f>INDEX('2kob.'!B3:G28,MATCH(18,B4:B29,0),6)</f>
        <v>-33</v>
      </c>
    </row>
    <row r="22" spans="2:8" x14ac:dyDescent="0.2">
      <c r="B22" s="6">
        <f>RANK('2kob.'!C21,'2kob.'!$C$3:'2kob.'!$C$28,1)+COUNTIF('2kob.'!$C$3:'2kob.'!C21,'2kob.'!C21)-1</f>
        <v>9</v>
      </c>
      <c r="C22" s="5" t="str">
        <f>INDEX('2kob.'!B3:G28,MATCH(19,B4:B29,0),1)</f>
        <v>mielecki</v>
      </c>
      <c r="D22" s="6">
        <f>INDEX('2kob.'!B3:G28,MATCH(19,B4:B29,0),2)</f>
        <v>1529</v>
      </c>
      <c r="E22" s="42">
        <f>INDEX('2kob.'!B3:G28,MATCH(19,B4:B29,0),3)</f>
        <v>1562</v>
      </c>
      <c r="F22" s="6">
        <f>INDEX('2kob.'!B3:G28,MATCH(19,B4:B29,0),4)</f>
        <v>-33</v>
      </c>
      <c r="G22" s="42">
        <f>INDEX('2kob.'!B3:G28,MATCH(19,B4:B29,0),5)</f>
        <v>1433</v>
      </c>
      <c r="H22" s="6">
        <f>INDEX('2kob.'!B3:G28,MATCH(19,B4:B29,0),6)</f>
        <v>96</v>
      </c>
    </row>
    <row r="23" spans="2:8" x14ac:dyDescent="0.2">
      <c r="B23" s="6">
        <f>RANK('2kob.'!C22,'2kob.'!$C$3:'2kob.'!$C$28,1)+COUNTIF('2kob.'!$C$3:'2kob.'!C22,'2kob.'!C22)-1</f>
        <v>18</v>
      </c>
      <c r="C23" s="5" t="str">
        <f>INDEX('2kob.'!B3:G28,MATCH(20,B4:B29,0),1)</f>
        <v>przeworski</v>
      </c>
      <c r="D23" s="6">
        <f>INDEX('2kob.'!B3:G28,MATCH(20,B4:B29,0),2)</f>
        <v>1769</v>
      </c>
      <c r="E23" s="42">
        <f>INDEX('2kob.'!B3:G28,MATCH(20,B4:B29,0),3)</f>
        <v>1788</v>
      </c>
      <c r="F23" s="6">
        <f>INDEX('2kob.'!B3:G28,MATCH(20,B4:B29,0),4)</f>
        <v>-19</v>
      </c>
      <c r="G23" s="42">
        <f>INDEX('2kob.'!B3:G28,MATCH(20,B4:B29,0),5)</f>
        <v>1691</v>
      </c>
      <c r="H23" s="6">
        <f>INDEX('2kob.'!B3:G28,MATCH(20,B4:B29,0),6)</f>
        <v>78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1828</v>
      </c>
      <c r="E24" s="42">
        <f>INDEX('2kob.'!B3:G28,MATCH(21,B4:B29,0),3)</f>
        <v>1905</v>
      </c>
      <c r="F24" s="6">
        <f>INDEX('2kob.'!B3:G28,MATCH(21,B4:B29,0),4)</f>
        <v>-77</v>
      </c>
      <c r="G24" s="42">
        <f>INDEX('2kob.'!B3:G28,MATCH(21,B4:B29,0),5)</f>
        <v>1873</v>
      </c>
      <c r="H24" s="6">
        <f>INDEX('2kob.'!B3:G28,MATCH(21,B4:B29,0),6)</f>
        <v>-45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2162</v>
      </c>
      <c r="E25" s="42">
        <f>INDEX('2kob.'!B3:G28,MATCH(22,B4:B29,0),3)</f>
        <v>2227</v>
      </c>
      <c r="F25" s="6">
        <f>INDEX('2kob.'!B3:G28,MATCH(22,B4:B29,0),4)</f>
        <v>-65</v>
      </c>
      <c r="G25" s="42">
        <f>INDEX('2kob.'!B3:G28,MATCH(22,B4:B29,0),5)</f>
        <v>2231</v>
      </c>
      <c r="H25" s="6">
        <f>INDEX('2kob.'!B3:G28,MATCH(22,B4:B29,0),6)</f>
        <v>-69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2345</v>
      </c>
      <c r="E26" s="42">
        <f>INDEX('2kob.'!B3:G28,MATCH(23,B4:B29,0),3)</f>
        <v>2522</v>
      </c>
      <c r="F26" s="6">
        <f>INDEX('2kob.'!B3:G28,MATCH(23,B4:B29,0),4)</f>
        <v>-177</v>
      </c>
      <c r="G26" s="42">
        <f>INDEX('2kob.'!B3:G28,MATCH(23,B4:B29,0),5)</f>
        <v>2288</v>
      </c>
      <c r="H26" s="6">
        <f>INDEX('2kob.'!B3:G28,MATCH(23,B4:B29,0),6)</f>
        <v>57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2557</v>
      </c>
      <c r="E27" s="42">
        <f>INDEX('2kob.'!B3:G28,MATCH(24,B4:B29,0),3)</f>
        <v>2558</v>
      </c>
      <c r="F27" s="6">
        <f>INDEX('2kob.'!B3:G28,MATCH(24,B4:B29,0),4)</f>
        <v>-1</v>
      </c>
      <c r="G27" s="42">
        <f>INDEX('2kob.'!B3:G28,MATCH(24,B4:B29,0),5)</f>
        <v>2571</v>
      </c>
      <c r="H27" s="6">
        <f>INDEX('2kob.'!B3:G28,MATCH(24,B4:B29,0),6)</f>
        <v>-14</v>
      </c>
    </row>
    <row r="28" spans="2:8" x14ac:dyDescent="0.2">
      <c r="B28" s="6">
        <f>RANK('2kob.'!C27,'2kob.'!$C$3:'2kob.'!$C$28,1)+COUNTIF('2kob.'!$C$3:'2kob.'!C27,'2kob.'!C27)-1</f>
        <v>2</v>
      </c>
      <c r="C28" s="5" t="str">
        <f>INDEX('2kob.'!B3:G28,MATCH(25,B4:B29,0),1)</f>
        <v>jasielski</v>
      </c>
      <c r="D28" s="6">
        <f>INDEX('2kob.'!B3:G28,MATCH(25,B4:B29,0),2)</f>
        <v>2803</v>
      </c>
      <c r="E28" s="42">
        <f>INDEX('2kob.'!B3:G28,MATCH(25,B4:B29,0),3)</f>
        <v>2853</v>
      </c>
      <c r="F28" s="6">
        <f>INDEX('2kob.'!B3:G28,MATCH(25,B4:B29,0),4)</f>
        <v>-50</v>
      </c>
      <c r="G28" s="42">
        <f>INDEX('2kob.'!B3:G28,MATCH(25,B4:B29,0),5)</f>
        <v>2911</v>
      </c>
      <c r="H28" s="6">
        <f>INDEX('2kob.'!B3:G28,MATCH(25,B4:B29,0),6)</f>
        <v>-108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34451</v>
      </c>
      <c r="E29" s="44">
        <f>INDEX('2kob.'!B3:G28,MATCH(26,B4:B29,0),3)</f>
        <v>35565</v>
      </c>
      <c r="F29" s="40">
        <f>INDEX('2kob.'!B3:G28,MATCH(26,B4:B29,0),4)</f>
        <v>-1114</v>
      </c>
      <c r="G29" s="44">
        <f>INDEX('2kob.'!B3:G28,MATCH(26,B4:B29,0),5)</f>
        <v>34582</v>
      </c>
      <c r="H29" s="40">
        <f>INDEX('2kob.'!B3:G28,MATCH(26,B4:B29,0),6)</f>
        <v>-131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83</v>
      </c>
      <c r="D2" s="38" t="s">
        <v>82</v>
      </c>
      <c r="E2" s="37" t="s">
        <v>28</v>
      </c>
      <c r="F2" s="38" t="s">
        <v>84</v>
      </c>
      <c r="G2" s="37" t="s">
        <v>26</v>
      </c>
      <c r="I2" s="36" t="s">
        <v>27</v>
      </c>
      <c r="J2" s="37" t="str">
        <f>T('1bezr.'!C2)</f>
        <v>liczba bezrobotnych ogółem stan na 31-03-'25 r.</v>
      </c>
      <c r="K2" s="37" t="str">
        <f>T(C2)</f>
        <v>liczba bezrobotnych zam. na wsi stan na 31-03-'25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695</v>
      </c>
      <c r="D3" s="42">
        <v>759</v>
      </c>
      <c r="E3" s="6">
        <f t="shared" ref="E3:E23" si="0">SUM(C3)-D3</f>
        <v>-64</v>
      </c>
      <c r="F3" s="42">
        <v>701</v>
      </c>
      <c r="G3" s="6">
        <f t="shared" ref="G3:G23" si="1">SUM(C3)-F3</f>
        <v>-6</v>
      </c>
      <c r="H3" s="7"/>
      <c r="I3" s="5" t="s">
        <v>0</v>
      </c>
      <c r="J3" s="6">
        <f>SUM('1bezr.'!C3)</f>
        <v>1095</v>
      </c>
      <c r="K3" s="6">
        <f>SUM(C3)</f>
        <v>695</v>
      </c>
      <c r="L3" s="8">
        <f t="shared" ref="L3:L23" si="2">SUM(K3)/J3*100</f>
        <v>63.470319634703202</v>
      </c>
    </row>
    <row r="4" spans="1:12" x14ac:dyDescent="0.2">
      <c r="A4" s="3">
        <v>2</v>
      </c>
      <c r="B4" s="5" t="s">
        <v>1</v>
      </c>
      <c r="C4" s="14">
        <v>3466</v>
      </c>
      <c r="D4" s="42">
        <v>3584</v>
      </c>
      <c r="E4" s="6">
        <f t="shared" si="0"/>
        <v>-118</v>
      </c>
      <c r="F4" s="42">
        <v>3477</v>
      </c>
      <c r="G4" s="6">
        <f t="shared" si="1"/>
        <v>-11</v>
      </c>
      <c r="H4" s="7"/>
      <c r="I4" s="5" t="s">
        <v>1</v>
      </c>
      <c r="J4" s="6">
        <f>SUM('1bezr.'!C4)</f>
        <v>3773</v>
      </c>
      <c r="K4" s="6">
        <f t="shared" ref="K4:K22" si="3">SUM(C4)</f>
        <v>3466</v>
      </c>
      <c r="L4" s="8">
        <f t="shared" si="2"/>
        <v>91.863238802014308</v>
      </c>
    </row>
    <row r="5" spans="1:12" x14ac:dyDescent="0.2">
      <c r="A5" s="3">
        <v>3</v>
      </c>
      <c r="B5" s="5" t="s">
        <v>2</v>
      </c>
      <c r="C5" s="15">
        <v>1450</v>
      </c>
      <c r="D5" s="42">
        <v>1491</v>
      </c>
      <c r="E5" s="6">
        <f t="shared" si="0"/>
        <v>-41</v>
      </c>
      <c r="F5" s="42">
        <v>1503</v>
      </c>
      <c r="G5" s="6">
        <f t="shared" si="1"/>
        <v>-53</v>
      </c>
      <c r="H5" s="7"/>
      <c r="I5" s="5" t="s">
        <v>2</v>
      </c>
      <c r="J5" s="6">
        <f>SUM('1bezr.'!C5)</f>
        <v>2407</v>
      </c>
      <c r="K5" s="6">
        <f t="shared" si="3"/>
        <v>1450</v>
      </c>
      <c r="L5" s="8">
        <f t="shared" si="2"/>
        <v>60.24096385542169</v>
      </c>
    </row>
    <row r="6" spans="1:12" x14ac:dyDescent="0.2">
      <c r="A6" s="3">
        <v>4</v>
      </c>
      <c r="B6" s="5" t="s">
        <v>3</v>
      </c>
      <c r="C6" s="15">
        <v>2874</v>
      </c>
      <c r="D6" s="42">
        <v>3072</v>
      </c>
      <c r="E6" s="6">
        <f t="shared" si="0"/>
        <v>-198</v>
      </c>
      <c r="F6" s="42">
        <v>2771</v>
      </c>
      <c r="G6" s="6">
        <f t="shared" si="1"/>
        <v>103</v>
      </c>
      <c r="H6" s="7"/>
      <c r="I6" s="5" t="s">
        <v>3</v>
      </c>
      <c r="J6" s="6">
        <f>SUM('1bezr.'!C6)</f>
        <v>4643</v>
      </c>
      <c r="K6" s="6">
        <f t="shared" si="3"/>
        <v>2874</v>
      </c>
      <c r="L6" s="8">
        <f t="shared" si="2"/>
        <v>61.899633857419765</v>
      </c>
    </row>
    <row r="7" spans="1:12" x14ac:dyDescent="0.2">
      <c r="A7" s="3">
        <v>5</v>
      </c>
      <c r="B7" s="5" t="s">
        <v>4</v>
      </c>
      <c r="C7" s="15">
        <v>3546</v>
      </c>
      <c r="D7" s="42">
        <v>3626</v>
      </c>
      <c r="E7" s="6">
        <f t="shared" si="0"/>
        <v>-80</v>
      </c>
      <c r="F7" s="42">
        <v>3655</v>
      </c>
      <c r="G7" s="6">
        <f t="shared" si="1"/>
        <v>-109</v>
      </c>
      <c r="H7" s="7"/>
      <c r="I7" s="5" t="s">
        <v>4</v>
      </c>
      <c r="J7" s="6">
        <f>SUM('1bezr.'!C7)</f>
        <v>4996</v>
      </c>
      <c r="K7" s="6">
        <f t="shared" si="3"/>
        <v>3546</v>
      </c>
      <c r="L7" s="8">
        <f t="shared" si="2"/>
        <v>70.976781425140118</v>
      </c>
    </row>
    <row r="8" spans="1:12" x14ac:dyDescent="0.2">
      <c r="A8" s="3">
        <v>6</v>
      </c>
      <c r="B8" s="5" t="s">
        <v>5</v>
      </c>
      <c r="C8" s="15">
        <v>1411</v>
      </c>
      <c r="D8" s="42">
        <v>1410</v>
      </c>
      <c r="E8" s="6">
        <f t="shared" si="0"/>
        <v>1</v>
      </c>
      <c r="F8" s="42">
        <v>1368</v>
      </c>
      <c r="G8" s="6">
        <f t="shared" si="1"/>
        <v>43</v>
      </c>
      <c r="H8" s="7"/>
      <c r="I8" s="5" t="s">
        <v>5</v>
      </c>
      <c r="J8" s="6">
        <f>SUM('1bezr.'!C8)</f>
        <v>1625</v>
      </c>
      <c r="K8" s="6">
        <f t="shared" si="3"/>
        <v>1411</v>
      </c>
      <c r="L8" s="8">
        <f t="shared" si="2"/>
        <v>86.830769230769235</v>
      </c>
    </row>
    <row r="9" spans="1:12" x14ac:dyDescent="0.2">
      <c r="A9" s="3">
        <v>7</v>
      </c>
      <c r="B9" s="9" t="s">
        <v>6</v>
      </c>
      <c r="C9" s="16">
        <v>2241</v>
      </c>
      <c r="D9" s="42">
        <v>2308</v>
      </c>
      <c r="E9" s="6">
        <f t="shared" si="0"/>
        <v>-67</v>
      </c>
      <c r="F9" s="42">
        <v>2161</v>
      </c>
      <c r="G9" s="6">
        <f t="shared" si="1"/>
        <v>80</v>
      </c>
      <c r="H9" s="7"/>
      <c r="I9" s="9" t="s">
        <v>6</v>
      </c>
      <c r="J9" s="6">
        <f>SUM('1bezr.'!C9)</f>
        <v>2479</v>
      </c>
      <c r="K9" s="6">
        <f t="shared" si="3"/>
        <v>2241</v>
      </c>
      <c r="L9" s="8">
        <f t="shared" si="2"/>
        <v>90.399354578459054</v>
      </c>
    </row>
    <row r="10" spans="1:12" x14ac:dyDescent="0.2">
      <c r="A10" s="3">
        <v>8</v>
      </c>
      <c r="B10" s="5" t="s">
        <v>7</v>
      </c>
      <c r="C10" s="17">
        <v>1408</v>
      </c>
      <c r="D10" s="42">
        <v>1460</v>
      </c>
      <c r="E10" s="6">
        <f t="shared" si="0"/>
        <v>-52</v>
      </c>
      <c r="F10" s="42">
        <v>1461</v>
      </c>
      <c r="G10" s="6">
        <f>SUM(C10)-F10</f>
        <v>-53</v>
      </c>
      <c r="H10" s="7"/>
      <c r="I10" s="5" t="s">
        <v>7</v>
      </c>
      <c r="J10" s="6">
        <f>SUM('1bezr.'!C10)</f>
        <v>1701</v>
      </c>
      <c r="K10" s="6">
        <f>SUM(C10)</f>
        <v>1408</v>
      </c>
      <c r="L10" s="8">
        <f t="shared" si="2"/>
        <v>82.774838330393891</v>
      </c>
    </row>
    <row r="11" spans="1:12" x14ac:dyDescent="0.2">
      <c r="A11" s="3">
        <v>9</v>
      </c>
      <c r="B11" s="5" t="s">
        <v>8</v>
      </c>
      <c r="C11" s="17">
        <v>2295</v>
      </c>
      <c r="D11" s="42">
        <v>2426</v>
      </c>
      <c r="E11" s="6">
        <f t="shared" si="0"/>
        <v>-131</v>
      </c>
      <c r="F11" s="42">
        <v>2392</v>
      </c>
      <c r="G11" s="6">
        <f t="shared" si="1"/>
        <v>-97</v>
      </c>
      <c r="H11" s="7"/>
      <c r="I11" s="5" t="s">
        <v>8</v>
      </c>
      <c r="J11" s="6">
        <f>SUM('1bezr.'!C11)</f>
        <v>3010</v>
      </c>
      <c r="K11" s="6">
        <f t="shared" si="3"/>
        <v>2295</v>
      </c>
      <c r="L11" s="8">
        <f t="shared" si="2"/>
        <v>76.245847176079735</v>
      </c>
    </row>
    <row r="12" spans="1:12" x14ac:dyDescent="0.2">
      <c r="A12" s="3">
        <v>10</v>
      </c>
      <c r="B12" s="5" t="s">
        <v>9</v>
      </c>
      <c r="C12" s="17">
        <v>1115</v>
      </c>
      <c r="D12" s="42">
        <v>1187</v>
      </c>
      <c r="E12" s="6">
        <f t="shared" si="0"/>
        <v>-72</v>
      </c>
      <c r="F12" s="42">
        <v>1167</v>
      </c>
      <c r="G12" s="6">
        <f t="shared" si="1"/>
        <v>-52</v>
      </c>
      <c r="H12" s="7"/>
      <c r="I12" s="5" t="s">
        <v>9</v>
      </c>
      <c r="J12" s="6">
        <f>SUM('1bezr.'!C12)</f>
        <v>1708</v>
      </c>
      <c r="K12" s="6">
        <f t="shared" si="3"/>
        <v>1115</v>
      </c>
      <c r="L12" s="8">
        <f t="shared" si="2"/>
        <v>65.28103044496487</v>
      </c>
    </row>
    <row r="13" spans="1:12" x14ac:dyDescent="0.2">
      <c r="A13" s="3">
        <v>11</v>
      </c>
      <c r="B13" s="5" t="s">
        <v>10</v>
      </c>
      <c r="C13" s="17">
        <v>1979</v>
      </c>
      <c r="D13" s="42">
        <v>2052</v>
      </c>
      <c r="E13" s="6">
        <f t="shared" si="0"/>
        <v>-73</v>
      </c>
      <c r="F13" s="42">
        <v>2060</v>
      </c>
      <c r="G13" s="6">
        <f t="shared" si="1"/>
        <v>-81</v>
      </c>
      <c r="H13" s="7"/>
      <c r="I13" s="5" t="s">
        <v>10</v>
      </c>
      <c r="J13" s="6">
        <f>SUM('1bezr.'!C13)</f>
        <v>2552</v>
      </c>
      <c r="K13" s="6">
        <f t="shared" si="3"/>
        <v>1979</v>
      </c>
      <c r="L13" s="8">
        <f t="shared" si="2"/>
        <v>77.547021943573668</v>
      </c>
    </row>
    <row r="14" spans="1:12" x14ac:dyDescent="0.2">
      <c r="A14" s="3">
        <v>12</v>
      </c>
      <c r="B14" s="5" t="s">
        <v>11</v>
      </c>
      <c r="C14" s="17">
        <v>1573</v>
      </c>
      <c r="D14" s="42">
        <v>1641</v>
      </c>
      <c r="E14" s="6">
        <f t="shared" si="0"/>
        <v>-68</v>
      </c>
      <c r="F14" s="42">
        <v>1496</v>
      </c>
      <c r="G14" s="6">
        <f t="shared" si="1"/>
        <v>77</v>
      </c>
      <c r="H14" s="7"/>
      <c r="I14" s="5" t="s">
        <v>11</v>
      </c>
      <c r="J14" s="6">
        <f>SUM('1bezr.'!C14)</f>
        <v>3166</v>
      </c>
      <c r="K14" s="6">
        <f t="shared" si="3"/>
        <v>1573</v>
      </c>
      <c r="L14" s="8">
        <f t="shared" si="2"/>
        <v>49.684144030322173</v>
      </c>
    </row>
    <row r="15" spans="1:12" x14ac:dyDescent="0.2">
      <c r="A15" s="3">
        <v>13</v>
      </c>
      <c r="B15" s="5" t="s">
        <v>12</v>
      </c>
      <c r="C15" s="17">
        <v>1955</v>
      </c>
      <c r="D15" s="42">
        <v>2046</v>
      </c>
      <c r="E15" s="6">
        <f t="shared" si="0"/>
        <v>-91</v>
      </c>
      <c r="F15" s="42">
        <v>1959</v>
      </c>
      <c r="G15" s="6">
        <f t="shared" si="1"/>
        <v>-4</v>
      </c>
      <c r="H15" s="7"/>
      <c r="I15" s="5" t="s">
        <v>12</v>
      </c>
      <c r="J15" s="6">
        <f>SUM('1bezr.'!C15)</f>
        <v>2997</v>
      </c>
      <c r="K15" s="6">
        <f t="shared" si="3"/>
        <v>1955</v>
      </c>
      <c r="L15" s="8">
        <f t="shared" si="2"/>
        <v>65.231898565231887</v>
      </c>
    </row>
    <row r="16" spans="1:12" x14ac:dyDescent="0.2">
      <c r="A16" s="3">
        <v>14</v>
      </c>
      <c r="B16" s="5" t="s">
        <v>13</v>
      </c>
      <c r="C16" s="17">
        <v>2852</v>
      </c>
      <c r="D16" s="42">
        <v>2989</v>
      </c>
      <c r="E16" s="6">
        <f t="shared" si="0"/>
        <v>-137</v>
      </c>
      <c r="F16" s="42">
        <v>2865</v>
      </c>
      <c r="G16" s="6">
        <f t="shared" si="1"/>
        <v>-13</v>
      </c>
      <c r="H16" s="7"/>
      <c r="I16" s="5" t="s">
        <v>13</v>
      </c>
      <c r="J16" s="6">
        <f>SUM('1bezr.'!C16)</f>
        <v>2930</v>
      </c>
      <c r="K16" s="6">
        <f t="shared" si="3"/>
        <v>2852</v>
      </c>
      <c r="L16" s="8">
        <f t="shared" si="2"/>
        <v>97.337883959044376</v>
      </c>
    </row>
    <row r="17" spans="1:13" x14ac:dyDescent="0.2">
      <c r="A17" s="3">
        <v>15</v>
      </c>
      <c r="B17" s="5" t="s">
        <v>14</v>
      </c>
      <c r="C17" s="17">
        <v>2531</v>
      </c>
      <c r="D17" s="42">
        <v>2587</v>
      </c>
      <c r="E17" s="6">
        <f t="shared" si="0"/>
        <v>-56</v>
      </c>
      <c r="F17" s="42">
        <v>2393</v>
      </c>
      <c r="G17" s="6">
        <f t="shared" si="1"/>
        <v>138</v>
      </c>
      <c r="H17" s="7"/>
      <c r="I17" s="5" t="s">
        <v>14</v>
      </c>
      <c r="J17" s="6">
        <f>SUM('1bezr.'!C17)</f>
        <v>3391</v>
      </c>
      <c r="K17" s="6">
        <f t="shared" si="3"/>
        <v>2531</v>
      </c>
      <c r="L17" s="8">
        <f t="shared" si="2"/>
        <v>74.638749631377181</v>
      </c>
      <c r="M17" s="10"/>
    </row>
    <row r="18" spans="1:13" x14ac:dyDescent="0.2">
      <c r="A18" s="3">
        <v>16</v>
      </c>
      <c r="B18" s="5" t="s">
        <v>15</v>
      </c>
      <c r="C18" s="17">
        <v>1766</v>
      </c>
      <c r="D18" s="42">
        <v>1769</v>
      </c>
      <c r="E18" s="6">
        <f t="shared" si="0"/>
        <v>-3</v>
      </c>
      <c r="F18" s="42">
        <v>1685</v>
      </c>
      <c r="G18" s="6">
        <f t="shared" si="1"/>
        <v>81</v>
      </c>
      <c r="H18" s="7"/>
      <c r="I18" s="5" t="s">
        <v>15</v>
      </c>
      <c r="J18" s="6">
        <f>SUM('1bezr.'!C18)</f>
        <v>2741</v>
      </c>
      <c r="K18" s="6">
        <f t="shared" si="3"/>
        <v>1766</v>
      </c>
      <c r="L18" s="8">
        <f t="shared" si="2"/>
        <v>64.429040496169279</v>
      </c>
    </row>
    <row r="19" spans="1:13" x14ac:dyDescent="0.2">
      <c r="A19" s="3">
        <v>17</v>
      </c>
      <c r="B19" s="5" t="s">
        <v>16</v>
      </c>
      <c r="C19" s="17">
        <v>3635</v>
      </c>
      <c r="D19" s="42">
        <v>3699</v>
      </c>
      <c r="E19" s="6">
        <f t="shared" si="0"/>
        <v>-64</v>
      </c>
      <c r="F19" s="42">
        <v>3740</v>
      </c>
      <c r="G19" s="6">
        <f t="shared" si="1"/>
        <v>-105</v>
      </c>
      <c r="H19" s="7"/>
      <c r="I19" s="5" t="s">
        <v>16</v>
      </c>
      <c r="J19" s="6">
        <f>SUM('1bezr.'!C19)</f>
        <v>4650</v>
      </c>
      <c r="K19" s="6">
        <f t="shared" si="3"/>
        <v>3635</v>
      </c>
      <c r="L19" s="8">
        <f t="shared" si="2"/>
        <v>78.172043010752688</v>
      </c>
    </row>
    <row r="20" spans="1:13" x14ac:dyDescent="0.2">
      <c r="A20" s="3">
        <v>18</v>
      </c>
      <c r="B20" s="5" t="s">
        <v>17</v>
      </c>
      <c r="C20" s="17">
        <v>1835</v>
      </c>
      <c r="D20" s="42">
        <v>1834</v>
      </c>
      <c r="E20" s="6">
        <f t="shared" si="0"/>
        <v>1</v>
      </c>
      <c r="F20" s="42">
        <v>1692</v>
      </c>
      <c r="G20" s="6">
        <f t="shared" si="1"/>
        <v>143</v>
      </c>
      <c r="H20" s="7"/>
      <c r="I20" s="5" t="s">
        <v>17</v>
      </c>
      <c r="J20" s="6">
        <f>SUM('1bezr.'!C20)</f>
        <v>3097</v>
      </c>
      <c r="K20" s="6">
        <f t="shared" si="3"/>
        <v>1835</v>
      </c>
      <c r="L20" s="8">
        <f t="shared" si="2"/>
        <v>59.250887956086537</v>
      </c>
    </row>
    <row r="21" spans="1:13" x14ac:dyDescent="0.2">
      <c r="A21" s="3">
        <v>19</v>
      </c>
      <c r="B21" s="5" t="s">
        <v>18</v>
      </c>
      <c r="C21" s="17">
        <v>897</v>
      </c>
      <c r="D21" s="42">
        <v>923</v>
      </c>
      <c r="E21" s="6">
        <f t="shared" si="0"/>
        <v>-26</v>
      </c>
      <c r="F21" s="42">
        <v>785</v>
      </c>
      <c r="G21" s="6">
        <f t="shared" si="1"/>
        <v>112</v>
      </c>
      <c r="H21" s="7"/>
      <c r="I21" s="5" t="s">
        <v>18</v>
      </c>
      <c r="J21" s="6">
        <f>SUM('1bezr.'!C21)</f>
        <v>2304</v>
      </c>
      <c r="K21" s="6">
        <f t="shared" si="3"/>
        <v>897</v>
      </c>
      <c r="L21" s="8">
        <f t="shared" si="2"/>
        <v>38.932291666666671</v>
      </c>
    </row>
    <row r="22" spans="1:13" x14ac:dyDescent="0.2">
      <c r="A22" s="3">
        <v>20</v>
      </c>
      <c r="B22" s="5" t="s">
        <v>19</v>
      </c>
      <c r="C22" s="17">
        <v>2771</v>
      </c>
      <c r="D22" s="42">
        <v>2838</v>
      </c>
      <c r="E22" s="6">
        <f t="shared" si="0"/>
        <v>-67</v>
      </c>
      <c r="F22" s="42">
        <v>2816</v>
      </c>
      <c r="G22" s="6">
        <f t="shared" si="1"/>
        <v>-45</v>
      </c>
      <c r="H22" s="7"/>
      <c r="I22" s="5" t="s">
        <v>19</v>
      </c>
      <c r="J22" s="6">
        <f>SUM('1bezr.'!C22)</f>
        <v>3101</v>
      </c>
      <c r="K22" s="6">
        <f t="shared" si="3"/>
        <v>2771</v>
      </c>
      <c r="L22" s="8">
        <f t="shared" si="2"/>
        <v>89.358271525314422</v>
      </c>
    </row>
    <row r="23" spans="1:13" x14ac:dyDescent="0.2">
      <c r="A23" s="3">
        <v>21</v>
      </c>
      <c r="B23" s="5" t="s">
        <v>20</v>
      </c>
      <c r="C23" s="17">
        <v>1028</v>
      </c>
      <c r="D23" s="42">
        <v>1121</v>
      </c>
      <c r="E23" s="6">
        <f t="shared" si="0"/>
        <v>-93</v>
      </c>
      <c r="F23" s="42">
        <v>1046</v>
      </c>
      <c r="G23" s="6">
        <f t="shared" si="1"/>
        <v>-18</v>
      </c>
      <c r="H23" s="7"/>
      <c r="I23" s="5" t="s">
        <v>20</v>
      </c>
      <c r="J23" s="6">
        <f>SUM('1bezr.'!C23)</f>
        <v>1253</v>
      </c>
      <c r="K23" s="6">
        <f>SUM(C23)</f>
        <v>1028</v>
      </c>
      <c r="L23" s="8">
        <f t="shared" si="2"/>
        <v>82.043096568236223</v>
      </c>
    </row>
    <row r="24" spans="1:13" ht="15" x14ac:dyDescent="0.25">
      <c r="A24" s="3">
        <v>22</v>
      </c>
      <c r="B24" s="39" t="s">
        <v>25</v>
      </c>
      <c r="C24" s="40">
        <f>SUM(C3:C23)</f>
        <v>43323</v>
      </c>
      <c r="D24" s="44">
        <f>SUM(D3:D23)</f>
        <v>44822</v>
      </c>
      <c r="E24" s="40">
        <f>SUM(E3:E23)</f>
        <v>-1499</v>
      </c>
      <c r="F24" s="44">
        <f>SUM(F3:F23)</f>
        <v>43193</v>
      </c>
      <c r="G24" s="40">
        <f>SUM(G3:G23)</f>
        <v>130</v>
      </c>
      <c r="H24" s="7"/>
      <c r="I24" s="5" t="s">
        <v>21</v>
      </c>
      <c r="J24" s="6">
        <f>SUM('1bezr.'!C24)</f>
        <v>882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2355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5127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1048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69031</v>
      </c>
      <c r="K28" s="40">
        <f>SUM(K3:K23)</f>
        <v>43323</v>
      </c>
      <c r="L28" s="46">
        <f>SUM(K28)/J28*100</f>
        <v>62.758760556851264</v>
      </c>
    </row>
    <row r="30" spans="1:13" x14ac:dyDescent="0.2">
      <c r="K30" s="19">
        <f>SUM(K28-J28)</f>
        <v>-25708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31-03-'25 r.</v>
      </c>
      <c r="E3" s="36" t="str">
        <f>T('3bezr. na wsi'!D2)</f>
        <v>liczba bezrobotnych zam. na wsi stan na 28-02-'25 r.</v>
      </c>
      <c r="F3" s="36" t="str">
        <f>T('3bezr. na wsi'!E2)</f>
        <v>wzrost/spadek do poprzedniego  miesiąca</v>
      </c>
      <c r="G3" s="36" t="str">
        <f>T('3bezr. na wsi'!F2)</f>
        <v>liczba bezrobotnych zam. na wsi stan na 31-03-'24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695</v>
      </c>
      <c r="E4" s="42">
        <f>INDEX('3bezr. na wsi'!B3:G28,MATCH(1,B4:B25,0),3)</f>
        <v>759</v>
      </c>
      <c r="F4" s="6">
        <f>INDEX('3bezr. na wsi'!B3:G28,MATCH(1,B4:B25,0),4)</f>
        <v>-64</v>
      </c>
      <c r="G4" s="42">
        <f>INDEX('3bezr. na wsi'!B3:G28,MATCH(1,B4:B25,0),5)</f>
        <v>701</v>
      </c>
      <c r="H4" s="6">
        <f>INDEX('3bezr. na wsi'!B3:G28,MATCH(1,B4:B25,0),6)</f>
        <v>-6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897</v>
      </c>
      <c r="E5" s="42">
        <f>INDEX('3bezr. na wsi'!B3:G28,MATCH(2,B4:B25,0),3)</f>
        <v>923</v>
      </c>
      <c r="F5" s="6">
        <f>INDEX('3bezr. na wsi'!B3:G28,MATCH(2,B4:B25,0),4)</f>
        <v>-26</v>
      </c>
      <c r="G5" s="42">
        <f>INDEX('3bezr. na wsi'!B3:G28,MATCH(2,B4:B25,0),5)</f>
        <v>785</v>
      </c>
      <c r="H5" s="6">
        <f>INDEX('3bezr. na wsi'!B3:G28,MATCH(2,B4:B25,0),6)</f>
        <v>112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1028</v>
      </c>
      <c r="E6" s="42">
        <f>INDEX('3bezr. na wsi'!B3:G28,MATCH(3,B4:B25,0),3)</f>
        <v>1121</v>
      </c>
      <c r="F6" s="6">
        <f>INDEX('3bezr. na wsi'!B3:G28,MATCH(3,B4:B25,0),4)</f>
        <v>-93</v>
      </c>
      <c r="G6" s="42">
        <f>INDEX('3bezr. na wsi'!B3:G28,MATCH(3,B4:B25,0),5)</f>
        <v>1046</v>
      </c>
      <c r="H6" s="6">
        <f>INDEX('3bezr. na wsi'!B3:G28,MATCH(3,B4:B25,0),6)</f>
        <v>-18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18</v>
      </c>
      <c r="C7" s="5" t="str">
        <f>INDEX('3bezr. na wsi'!B3:G28,MATCH(4,B4:B25,0),1)</f>
        <v>lubaczowski</v>
      </c>
      <c r="D7" s="6">
        <f>INDEX('3bezr. na wsi'!B3:G28,MATCH(4,B4:B25,0),2)</f>
        <v>1115</v>
      </c>
      <c r="E7" s="42">
        <f>INDEX('3bezr. na wsi'!B3:G28,MATCH(4,B4:B25,0),3)</f>
        <v>1187</v>
      </c>
      <c r="F7" s="6">
        <f>INDEX('3bezr. na wsi'!B3:G28,MATCH(4,B4:B25,0),4)</f>
        <v>-72</v>
      </c>
      <c r="G7" s="42">
        <f>INDEX('3bezr. na wsi'!B3:G28,MATCH(4,B4:B25,0),5)</f>
        <v>1167</v>
      </c>
      <c r="H7" s="6">
        <f>INDEX('3bezr. na wsi'!B3:G28,MATCH(4,B4:B25,0),6)</f>
        <v>-52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1408</v>
      </c>
      <c r="E8" s="42">
        <f>INDEX('3bezr. na wsi'!B3:G28,MATCH(5,B4:B25,0),3)</f>
        <v>1460</v>
      </c>
      <c r="F8" s="6">
        <f>INDEX('3bezr. na wsi'!B3:G28,MATCH(5,B4:B25,0),4)</f>
        <v>-52</v>
      </c>
      <c r="G8" s="42">
        <f>INDEX('3bezr. na wsi'!B3:G28,MATCH(5,B4:B25,0),5)</f>
        <v>1461</v>
      </c>
      <c r="H8" s="6">
        <f>INDEX('3bezr. na wsi'!B3:G28,MATCH(5,B4:B25,0),6)</f>
        <v>-53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1411</v>
      </c>
      <c r="E9" s="42">
        <f>INDEX('3bezr. na wsi'!B3:G28,MATCH(6,B4:B25,0),3)</f>
        <v>1410</v>
      </c>
      <c r="F9" s="6">
        <f>INDEX('3bezr. na wsi'!B3:G28,MATCH(6,B4:B25,0),4)</f>
        <v>1</v>
      </c>
      <c r="G9" s="42">
        <f>INDEX('3bezr. na wsi'!B3:G28,MATCH(6,B4:B25,0),5)</f>
        <v>1368</v>
      </c>
      <c r="H9" s="6">
        <f>INDEX('3bezr. na wsi'!B3:G28,MATCH(6,B4:B25,0),6)</f>
        <v>43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1450</v>
      </c>
      <c r="E10" s="42">
        <f>INDEX('3bezr. na wsi'!B3:G28,MATCH(7,B4:B25,0),3)</f>
        <v>1491</v>
      </c>
      <c r="F10" s="6">
        <f>INDEX('3bezr. na wsi'!B3:G28,MATCH(7,B4:B25,0),4)</f>
        <v>-41</v>
      </c>
      <c r="G10" s="42">
        <f>INDEX('3bezr. na wsi'!B3:G28,MATCH(7,B4:B25,0),5)</f>
        <v>1503</v>
      </c>
      <c r="H10" s="6">
        <f>INDEX('3bezr. na wsi'!B3:G28,MATCH(7,B4:B25,0),6)</f>
        <v>-53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1573</v>
      </c>
      <c r="E11" s="42">
        <f>INDEX('3bezr. na wsi'!B3:G28,MATCH(8,B4:B25,0),3)</f>
        <v>1641</v>
      </c>
      <c r="F11" s="6">
        <f>INDEX('3bezr. na wsi'!B3:G28,MATCH(8,B4:B25,0),4)</f>
        <v>-68</v>
      </c>
      <c r="G11" s="42">
        <f>INDEX('3bezr. na wsi'!B3:G28,MATCH(8,B4:B25,0),5)</f>
        <v>1496</v>
      </c>
      <c r="H11" s="6">
        <f>INDEX('3bezr. na wsi'!B3:G28,MATCH(8,B4:B25,0),6)</f>
        <v>77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ropczycko-sędziszowski</v>
      </c>
      <c r="D12" s="6">
        <f>INDEX('3bezr. na wsi'!B3:G28,MATCH(9,B4:B25,0),2)</f>
        <v>1766</v>
      </c>
      <c r="E12" s="42">
        <f>INDEX('3bezr. na wsi'!B3:G28,MATCH(9,B4:B25,0),3)</f>
        <v>1769</v>
      </c>
      <c r="F12" s="6">
        <f>INDEX('3bezr. na wsi'!B3:G28,MATCH(9,B4:B25,0),4)</f>
        <v>-3</v>
      </c>
      <c r="G12" s="42">
        <f>INDEX('3bezr. na wsi'!B3:G28,MATCH(9,B4:B25,0),5)</f>
        <v>1685</v>
      </c>
      <c r="H12" s="6">
        <f>INDEX('3bezr. na wsi'!B3:G28,MATCH(9,B4:B25,0),6)</f>
        <v>81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sanocki</v>
      </c>
      <c r="D13" s="6">
        <f>INDEX('3bezr. na wsi'!B3:G28,MATCH(10,B4:B25,0),2)</f>
        <v>1835</v>
      </c>
      <c r="E13" s="42">
        <f>INDEX('3bezr. na wsi'!B3:G28,MATCH(10,B4:B25,0),3)</f>
        <v>1834</v>
      </c>
      <c r="F13" s="6">
        <f>INDEX('3bezr. na wsi'!B3:G28,MATCH(10,B4:B25,0),4)</f>
        <v>1</v>
      </c>
      <c r="G13" s="42">
        <f>INDEX('3bezr. na wsi'!B3:G28,MATCH(10,B4:B25,0),5)</f>
        <v>1692</v>
      </c>
      <c r="H13" s="6">
        <f>INDEX('3bezr. na wsi'!B3:G28,MATCH(10,B4:B25,0),6)</f>
        <v>143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1955</v>
      </c>
      <c r="E14" s="42">
        <f>INDEX('3bezr. na wsi'!B3:G28,MATCH(11,B4:B25,0),3)</f>
        <v>2046</v>
      </c>
      <c r="F14" s="6">
        <f>INDEX('3bezr. na wsi'!B3:G28,MATCH(11,B4:B25,0),4)</f>
        <v>-91</v>
      </c>
      <c r="G14" s="42">
        <f>INDEX('3bezr. na wsi'!B3:G28,MATCH(11,B4:B25,0),5)</f>
        <v>1959</v>
      </c>
      <c r="H14" s="6">
        <f>INDEX('3bezr. na wsi'!B3:G28,MATCH(11,B4:B25,0),6)</f>
        <v>-4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1979</v>
      </c>
      <c r="E15" s="42">
        <f>INDEX('3bezr. na wsi'!B3:G28,MATCH(12,B4:B25,0),3)</f>
        <v>2052</v>
      </c>
      <c r="F15" s="6">
        <f>INDEX('3bezr. na wsi'!B3:G28,MATCH(12,B4:B25,0),4)</f>
        <v>-73</v>
      </c>
      <c r="G15" s="42">
        <f>INDEX('3bezr. na wsi'!B3:G28,MATCH(12,B4:B25,0),5)</f>
        <v>2060</v>
      </c>
      <c r="H15" s="6">
        <f>INDEX('3bezr. na wsi'!B3:G28,MATCH(12,B4:B25,0),6)</f>
        <v>-81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2241</v>
      </c>
      <c r="E16" s="42">
        <f>INDEX('3bezr. na wsi'!B3:G28,MATCH(13,B4:B25,0),3)</f>
        <v>2308</v>
      </c>
      <c r="F16" s="6">
        <f>INDEX('3bezr. na wsi'!B3:G28,MATCH(13,B4:B25,0),4)</f>
        <v>-67</v>
      </c>
      <c r="G16" s="42">
        <f>INDEX('3bezr. na wsi'!B3:G28,MATCH(13,B4:B25,0),5)</f>
        <v>2161</v>
      </c>
      <c r="H16" s="6">
        <f>INDEX('3bezr. na wsi'!B3:G28,MATCH(13,B4:B25,0),6)</f>
        <v>80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17</v>
      </c>
      <c r="C17" s="5" t="str">
        <f>INDEX('3bezr. na wsi'!B3:G28,MATCH(14,B4:B25,0),1)</f>
        <v>leżajski</v>
      </c>
      <c r="D17" s="6">
        <f>INDEX('3bezr. na wsi'!B3:G28,MATCH(14,B4:B25,0),2)</f>
        <v>2295</v>
      </c>
      <c r="E17" s="42">
        <f>INDEX('3bezr. na wsi'!B3:G28,MATCH(14,B4:B25,0),3)</f>
        <v>2426</v>
      </c>
      <c r="F17" s="6">
        <f>INDEX('3bezr. na wsi'!B3:G28,MATCH(14,B4:B25,0),4)</f>
        <v>-131</v>
      </c>
      <c r="G17" s="42">
        <f>INDEX('3bezr. na wsi'!B3:G28,MATCH(14,B4:B25,0),5)</f>
        <v>2392</v>
      </c>
      <c r="H17" s="6">
        <f>INDEX('3bezr. na wsi'!B3:G28,MATCH(14,B4:B25,0),6)</f>
        <v>-97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2531</v>
      </c>
      <c r="E18" s="42">
        <f>INDEX('3bezr. na wsi'!B3:G28,MATCH(15,B4:B25,0),3)</f>
        <v>2587</v>
      </c>
      <c r="F18" s="6">
        <f>INDEX('3bezr. na wsi'!B3:G28,MATCH(15,B4:B25,0),4)</f>
        <v>-56</v>
      </c>
      <c r="G18" s="42">
        <f>INDEX('3bezr. na wsi'!B3:G28,MATCH(15,B4:B25,0),5)</f>
        <v>2393</v>
      </c>
      <c r="H18" s="6">
        <f>INDEX('3bezr. na wsi'!B3:G28,MATCH(15,B4:B25,0),6)</f>
        <v>138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9</v>
      </c>
      <c r="C19" s="5" t="str">
        <f>INDEX('3bezr. na wsi'!B3:G28,MATCH(16,B4:B25,0),1)</f>
        <v>strzyżowski</v>
      </c>
      <c r="D19" s="6">
        <f>INDEX('3bezr. na wsi'!B3:G28,MATCH(16,B4:B25,0),2)</f>
        <v>2771</v>
      </c>
      <c r="E19" s="42">
        <f>INDEX('3bezr. na wsi'!B3:G28,MATCH(16,B4:B25,0),3)</f>
        <v>2838</v>
      </c>
      <c r="F19" s="6">
        <f>INDEX('3bezr. na wsi'!B3:G28,MATCH(16,B4:B25,0),4)</f>
        <v>-67</v>
      </c>
      <c r="G19" s="42">
        <f>INDEX('3bezr. na wsi'!B3:G28,MATCH(16,B4:B25,0),5)</f>
        <v>2816</v>
      </c>
      <c r="H19" s="6">
        <f>INDEX('3bezr. na wsi'!B3:G28,MATCH(16,B4:B25,0),6)</f>
        <v>-45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przemyski</v>
      </c>
      <c r="D20" s="6">
        <f>INDEX('3bezr. na wsi'!B3:G28,MATCH(17,B4:B25,0),2)</f>
        <v>2852</v>
      </c>
      <c r="E20" s="42">
        <f>INDEX('3bezr. na wsi'!B3:G28,MATCH(17,B4:B25,0),3)</f>
        <v>2989</v>
      </c>
      <c r="F20" s="6">
        <f>INDEX('3bezr. na wsi'!B3:G28,MATCH(17,B4:B25,0),4)</f>
        <v>-137</v>
      </c>
      <c r="G20" s="42">
        <f>INDEX('3bezr. na wsi'!B3:G28,MATCH(17,B4:B25,0),5)</f>
        <v>2865</v>
      </c>
      <c r="H20" s="6">
        <f>INDEX('3bezr. na wsi'!B3:G28,MATCH(17,B4:B25,0),6)</f>
        <v>-13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10</v>
      </c>
      <c r="C21" s="5" t="str">
        <f>INDEX('3bezr. na wsi'!B3:G28,MATCH(18,B4:B25,0),1)</f>
        <v>jarosławski</v>
      </c>
      <c r="D21" s="6">
        <f>INDEX('3bezr. na wsi'!B3:G28,MATCH(18,B4:B25,0),2)</f>
        <v>2874</v>
      </c>
      <c r="E21" s="42">
        <f>INDEX('3bezr. na wsi'!B3:G28,MATCH(18,B4:B25,0),3)</f>
        <v>3072</v>
      </c>
      <c r="F21" s="6">
        <f>INDEX('3bezr. na wsi'!B3:G28,MATCH(18,B4:B25,0),4)</f>
        <v>-198</v>
      </c>
      <c r="G21" s="42">
        <f>INDEX('3bezr. na wsi'!B3:G28,MATCH(18,B4:B25,0),5)</f>
        <v>2771</v>
      </c>
      <c r="H21" s="6">
        <f>INDEX('3bezr. na wsi'!B3:G28,MATCH(18,B4:B25,0),6)</f>
        <v>103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3466</v>
      </c>
      <c r="E22" s="42">
        <f>INDEX('3bezr. na wsi'!B3:G28,MATCH(19,B4:B25,0),3)</f>
        <v>3584</v>
      </c>
      <c r="F22" s="6">
        <f>INDEX('3bezr. na wsi'!B3:G28,MATCH(19,B4:B25,0),4)</f>
        <v>-118</v>
      </c>
      <c r="G22" s="42">
        <f>INDEX('3bezr. na wsi'!B3:G28,MATCH(19,B4:B25,0),5)</f>
        <v>3477</v>
      </c>
      <c r="H22" s="6">
        <f>INDEX('3bezr. na wsi'!B3:G28,MATCH(19,B4:B25,0),6)</f>
        <v>-11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3546</v>
      </c>
      <c r="E23" s="42">
        <f>INDEX('3bezr. na wsi'!B3:G28,MATCH(20,B4:B25,0),3)</f>
        <v>3626</v>
      </c>
      <c r="F23" s="6">
        <f>INDEX('3bezr. na wsi'!B3:G28,MATCH(20,B4:B25,0),4)</f>
        <v>-80</v>
      </c>
      <c r="G23" s="42">
        <f>INDEX('3bezr. na wsi'!B3:G28,MATCH(20,B4:B25,0),5)</f>
        <v>3655</v>
      </c>
      <c r="H23" s="6">
        <f>INDEX('3bezr. na wsi'!B3:G28,MATCH(20,B4:B25,0),6)</f>
        <v>-109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3635</v>
      </c>
      <c r="E24" s="42">
        <f>INDEX('3bezr. na wsi'!B3:G28,MATCH(21,B4:B25,0),3)</f>
        <v>3699</v>
      </c>
      <c r="F24" s="6">
        <f>INDEX('3bezr. na wsi'!B3:G28,MATCH(21,B4:B25,0),4)</f>
        <v>-64</v>
      </c>
      <c r="G24" s="42">
        <f>INDEX('3bezr. na wsi'!B3:G28,MATCH(21,B4:B25,0),5)</f>
        <v>3740</v>
      </c>
      <c r="H24" s="6">
        <f>INDEX('3bezr. na wsi'!B3:G28,MATCH(21,B4:B25,0),6)</f>
        <v>-105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43323</v>
      </c>
      <c r="E25" s="44">
        <f>INDEX('3bezr. na wsi'!B3:G28,MATCH(22,B4:B25,0),3)</f>
        <v>44822</v>
      </c>
      <c r="F25" s="40">
        <f>INDEX('3bezr. na wsi'!B3:G28,MATCH(22,B4:B25,0),4)</f>
        <v>-1499</v>
      </c>
      <c r="G25" s="44">
        <f>INDEX('3bezr. na wsi'!B3:G28,MATCH(22,B4:B25,0),5)</f>
        <v>43193</v>
      </c>
      <c r="H25" s="40">
        <f>INDEX('3bezr. na wsi'!B3:G28,MATCH(22,B4:B25,0),6)</f>
        <v>130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86</v>
      </c>
      <c r="D2" s="38" t="s">
        <v>85</v>
      </c>
      <c r="E2" s="37" t="s">
        <v>28</v>
      </c>
      <c r="F2" s="38" t="s">
        <v>87</v>
      </c>
      <c r="G2" s="37" t="s">
        <v>26</v>
      </c>
    </row>
    <row r="3" spans="2:8" x14ac:dyDescent="0.2">
      <c r="B3" s="5" t="s">
        <v>0</v>
      </c>
      <c r="C3" s="6">
        <v>657</v>
      </c>
      <c r="D3" s="42">
        <v>681</v>
      </c>
      <c r="E3" s="6">
        <f t="shared" ref="E3:E26" si="0">SUM(C3)-D3</f>
        <v>-24</v>
      </c>
      <c r="F3" s="42">
        <v>613</v>
      </c>
      <c r="G3" s="6">
        <f t="shared" ref="G3:G27" si="1">SUM(C3)-F3</f>
        <v>44</v>
      </c>
      <c r="H3" s="7"/>
    </row>
    <row r="4" spans="2:8" x14ac:dyDescent="0.2">
      <c r="B4" s="5" t="s">
        <v>1</v>
      </c>
      <c r="C4" s="6">
        <v>2405</v>
      </c>
      <c r="D4" s="42">
        <v>2420</v>
      </c>
      <c r="E4" s="6">
        <f t="shared" si="0"/>
        <v>-15</v>
      </c>
      <c r="F4" s="42">
        <v>2467</v>
      </c>
      <c r="G4" s="6">
        <f t="shared" si="1"/>
        <v>-62</v>
      </c>
      <c r="H4" s="7"/>
    </row>
    <row r="5" spans="2:8" x14ac:dyDescent="0.2">
      <c r="B5" s="5" t="s">
        <v>2</v>
      </c>
      <c r="C5" s="6">
        <v>972</v>
      </c>
      <c r="D5" s="42">
        <v>986</v>
      </c>
      <c r="E5" s="6">
        <f t="shared" si="0"/>
        <v>-14</v>
      </c>
      <c r="F5" s="42">
        <v>996</v>
      </c>
      <c r="G5" s="6">
        <f t="shared" si="1"/>
        <v>-24</v>
      </c>
      <c r="H5" s="7"/>
    </row>
    <row r="6" spans="2:8" x14ac:dyDescent="0.2">
      <c r="B6" s="5" t="s">
        <v>3</v>
      </c>
      <c r="C6" s="6">
        <v>2456</v>
      </c>
      <c r="D6" s="42">
        <v>2532</v>
      </c>
      <c r="E6" s="6">
        <f t="shared" si="0"/>
        <v>-76</v>
      </c>
      <c r="F6" s="42">
        <v>2507</v>
      </c>
      <c r="G6" s="6">
        <f t="shared" si="1"/>
        <v>-51</v>
      </c>
      <c r="H6" s="7"/>
    </row>
    <row r="7" spans="2:8" x14ac:dyDescent="0.2">
      <c r="B7" s="5" t="s">
        <v>4</v>
      </c>
      <c r="C7" s="6">
        <v>3031</v>
      </c>
      <c r="D7" s="42">
        <v>3062</v>
      </c>
      <c r="E7" s="6">
        <f t="shared" si="0"/>
        <v>-31</v>
      </c>
      <c r="F7" s="42">
        <v>3127</v>
      </c>
      <c r="G7" s="6">
        <f t="shared" si="1"/>
        <v>-96</v>
      </c>
      <c r="H7" s="7"/>
    </row>
    <row r="8" spans="2:8" x14ac:dyDescent="0.2">
      <c r="B8" s="5" t="s">
        <v>5</v>
      </c>
      <c r="C8" s="6">
        <v>776</v>
      </c>
      <c r="D8" s="42">
        <v>775</v>
      </c>
      <c r="E8" s="6">
        <f t="shared" si="0"/>
        <v>1</v>
      </c>
      <c r="F8" s="42">
        <v>753</v>
      </c>
      <c r="G8" s="6">
        <f t="shared" si="1"/>
        <v>23</v>
      </c>
      <c r="H8" s="7"/>
    </row>
    <row r="9" spans="2:8" x14ac:dyDescent="0.2">
      <c r="B9" s="9" t="s">
        <v>6</v>
      </c>
      <c r="C9" s="6">
        <v>1058</v>
      </c>
      <c r="D9" s="42">
        <v>1061</v>
      </c>
      <c r="E9" s="6">
        <f t="shared" si="0"/>
        <v>-3</v>
      </c>
      <c r="F9" s="42">
        <v>1016</v>
      </c>
      <c r="G9" s="6">
        <f t="shared" si="1"/>
        <v>42</v>
      </c>
      <c r="H9" s="7"/>
    </row>
    <row r="10" spans="2:8" x14ac:dyDescent="0.2">
      <c r="B10" s="5" t="s">
        <v>7</v>
      </c>
      <c r="C10" s="6">
        <v>1069</v>
      </c>
      <c r="D10" s="42">
        <v>1099</v>
      </c>
      <c r="E10" s="6">
        <f t="shared" si="0"/>
        <v>-30</v>
      </c>
      <c r="F10" s="42">
        <v>1084</v>
      </c>
      <c r="G10" s="6">
        <f t="shared" si="1"/>
        <v>-15</v>
      </c>
      <c r="H10" s="7"/>
    </row>
    <row r="11" spans="2:8" x14ac:dyDescent="0.2">
      <c r="B11" s="5" t="s">
        <v>8</v>
      </c>
      <c r="C11" s="6">
        <v>1732</v>
      </c>
      <c r="D11" s="42">
        <v>1767</v>
      </c>
      <c r="E11" s="6">
        <f t="shared" si="0"/>
        <v>-35</v>
      </c>
      <c r="F11" s="42">
        <v>1741</v>
      </c>
      <c r="G11" s="6">
        <f t="shared" si="1"/>
        <v>-9</v>
      </c>
      <c r="H11" s="7"/>
    </row>
    <row r="12" spans="2:8" x14ac:dyDescent="0.2">
      <c r="B12" s="5" t="s">
        <v>9</v>
      </c>
      <c r="C12" s="6">
        <v>901</v>
      </c>
      <c r="D12" s="42">
        <v>926</v>
      </c>
      <c r="E12" s="6">
        <f t="shared" si="0"/>
        <v>-25</v>
      </c>
      <c r="F12" s="42">
        <v>933</v>
      </c>
      <c r="G12" s="6">
        <f t="shared" si="1"/>
        <v>-32</v>
      </c>
      <c r="H12" s="7"/>
    </row>
    <row r="13" spans="2:8" x14ac:dyDescent="0.2">
      <c r="B13" s="5" t="s">
        <v>10</v>
      </c>
      <c r="C13" s="6">
        <v>1221</v>
      </c>
      <c r="D13" s="42">
        <v>1245</v>
      </c>
      <c r="E13" s="6">
        <f t="shared" si="0"/>
        <v>-24</v>
      </c>
      <c r="F13" s="42">
        <v>1253</v>
      </c>
      <c r="G13" s="6">
        <f t="shared" si="1"/>
        <v>-32</v>
      </c>
      <c r="H13" s="7"/>
    </row>
    <row r="14" spans="2:8" x14ac:dyDescent="0.2">
      <c r="B14" s="5" t="s">
        <v>11</v>
      </c>
      <c r="C14" s="6">
        <v>1551</v>
      </c>
      <c r="D14" s="42">
        <v>1528</v>
      </c>
      <c r="E14" s="6">
        <f t="shared" si="0"/>
        <v>23</v>
      </c>
      <c r="F14" s="42">
        <v>1369</v>
      </c>
      <c r="G14" s="6">
        <f t="shared" si="1"/>
        <v>182</v>
      </c>
      <c r="H14" s="7"/>
    </row>
    <row r="15" spans="2:8" x14ac:dyDescent="0.2">
      <c r="B15" s="5" t="s">
        <v>12</v>
      </c>
      <c r="C15" s="6">
        <v>1695</v>
      </c>
      <c r="D15" s="42">
        <v>1722</v>
      </c>
      <c r="E15" s="6">
        <f t="shared" si="0"/>
        <v>-27</v>
      </c>
      <c r="F15" s="42">
        <v>1689</v>
      </c>
      <c r="G15" s="6">
        <f t="shared" si="1"/>
        <v>6</v>
      </c>
      <c r="H15" s="7"/>
    </row>
    <row r="16" spans="2:8" x14ac:dyDescent="0.2">
      <c r="B16" s="5" t="s">
        <v>13</v>
      </c>
      <c r="C16" s="6">
        <v>1666</v>
      </c>
      <c r="D16" s="42">
        <v>1714</v>
      </c>
      <c r="E16" s="6">
        <f t="shared" si="0"/>
        <v>-48</v>
      </c>
      <c r="F16" s="42">
        <v>1703</v>
      </c>
      <c r="G16" s="6">
        <f t="shared" si="1"/>
        <v>-37</v>
      </c>
      <c r="H16" s="7"/>
    </row>
    <row r="17" spans="2:8" x14ac:dyDescent="0.2">
      <c r="B17" s="5" t="s">
        <v>14</v>
      </c>
      <c r="C17" s="6">
        <v>1970</v>
      </c>
      <c r="D17" s="42">
        <v>1992</v>
      </c>
      <c r="E17" s="6">
        <f t="shared" si="0"/>
        <v>-22</v>
      </c>
      <c r="F17" s="42">
        <v>1916</v>
      </c>
      <c r="G17" s="6">
        <f t="shared" si="1"/>
        <v>54</v>
      </c>
      <c r="H17" s="7"/>
    </row>
    <row r="18" spans="2:8" x14ac:dyDescent="0.2">
      <c r="B18" s="5" t="s">
        <v>15</v>
      </c>
      <c r="C18" s="6">
        <v>1415</v>
      </c>
      <c r="D18" s="42">
        <v>1401</v>
      </c>
      <c r="E18" s="6">
        <f t="shared" si="0"/>
        <v>14</v>
      </c>
      <c r="F18" s="42">
        <v>1339</v>
      </c>
      <c r="G18" s="6">
        <f t="shared" si="1"/>
        <v>76</v>
      </c>
      <c r="H18" s="7"/>
    </row>
    <row r="19" spans="2:8" x14ac:dyDescent="0.2">
      <c r="B19" s="5" t="s">
        <v>16</v>
      </c>
      <c r="C19" s="6">
        <v>2560</v>
      </c>
      <c r="D19" s="42">
        <v>2569</v>
      </c>
      <c r="E19" s="6">
        <f t="shared" si="0"/>
        <v>-9</v>
      </c>
      <c r="F19" s="42">
        <v>2616</v>
      </c>
      <c r="G19" s="6">
        <f t="shared" si="1"/>
        <v>-56</v>
      </c>
      <c r="H19" s="7"/>
    </row>
    <row r="20" spans="2:8" x14ac:dyDescent="0.2">
      <c r="B20" s="5" t="s">
        <v>17</v>
      </c>
      <c r="C20" s="6">
        <v>1592</v>
      </c>
      <c r="D20" s="42">
        <v>1590</v>
      </c>
      <c r="E20" s="6">
        <f t="shared" si="0"/>
        <v>2</v>
      </c>
      <c r="F20" s="42">
        <v>1467</v>
      </c>
      <c r="G20" s="6">
        <f t="shared" si="1"/>
        <v>125</v>
      </c>
      <c r="H20" s="7"/>
    </row>
    <row r="21" spans="2:8" x14ac:dyDescent="0.2">
      <c r="B21" s="5" t="s">
        <v>18</v>
      </c>
      <c r="C21" s="6">
        <v>969</v>
      </c>
      <c r="D21" s="42">
        <v>966</v>
      </c>
      <c r="E21" s="6">
        <f t="shared" si="0"/>
        <v>3</v>
      </c>
      <c r="F21" s="42">
        <v>806</v>
      </c>
      <c r="G21" s="6">
        <f t="shared" si="1"/>
        <v>163</v>
      </c>
      <c r="H21" s="7"/>
    </row>
    <row r="22" spans="2:8" x14ac:dyDescent="0.2">
      <c r="B22" s="5" t="s">
        <v>19</v>
      </c>
      <c r="C22" s="6">
        <v>1929</v>
      </c>
      <c r="D22" s="42">
        <v>1957</v>
      </c>
      <c r="E22" s="6">
        <f t="shared" si="0"/>
        <v>-28</v>
      </c>
      <c r="F22" s="42">
        <v>1941</v>
      </c>
      <c r="G22" s="6">
        <f t="shared" si="1"/>
        <v>-12</v>
      </c>
      <c r="H22" s="7"/>
    </row>
    <row r="23" spans="2:8" x14ac:dyDescent="0.2">
      <c r="B23" s="5" t="s">
        <v>20</v>
      </c>
      <c r="C23" s="6">
        <v>625</v>
      </c>
      <c r="D23" s="42">
        <v>648</v>
      </c>
      <c r="E23" s="6">
        <f t="shared" si="0"/>
        <v>-23</v>
      </c>
      <c r="F23" s="42">
        <v>651</v>
      </c>
      <c r="G23" s="6">
        <f t="shared" si="1"/>
        <v>-26</v>
      </c>
      <c r="H23" s="7"/>
    </row>
    <row r="24" spans="2:8" x14ac:dyDescent="0.2">
      <c r="B24" s="5" t="s">
        <v>21</v>
      </c>
      <c r="C24" s="6">
        <v>346</v>
      </c>
      <c r="D24" s="42">
        <v>361</v>
      </c>
      <c r="E24" s="6">
        <f t="shared" si="0"/>
        <v>-15</v>
      </c>
      <c r="F24" s="42">
        <v>344</v>
      </c>
      <c r="G24" s="6">
        <f t="shared" si="1"/>
        <v>2</v>
      </c>
      <c r="H24" s="7"/>
    </row>
    <row r="25" spans="2:8" x14ac:dyDescent="0.2">
      <c r="B25" s="5" t="s">
        <v>22</v>
      </c>
      <c r="C25" s="26">
        <v>1472</v>
      </c>
      <c r="D25" s="42">
        <v>1489</v>
      </c>
      <c r="E25" s="26">
        <f t="shared" si="0"/>
        <v>-17</v>
      </c>
      <c r="F25" s="42">
        <v>1499</v>
      </c>
      <c r="G25" s="6">
        <f t="shared" si="1"/>
        <v>-27</v>
      </c>
      <c r="H25" s="7"/>
    </row>
    <row r="26" spans="2:8" x14ac:dyDescent="0.2">
      <c r="B26" s="5" t="s">
        <v>23</v>
      </c>
      <c r="C26" s="26">
        <v>2869</v>
      </c>
      <c r="D26" s="42">
        <v>2874</v>
      </c>
      <c r="E26" s="26">
        <f t="shared" si="0"/>
        <v>-5</v>
      </c>
      <c r="F26" s="42">
        <v>3063</v>
      </c>
      <c r="G26" s="6">
        <f t="shared" si="1"/>
        <v>-194</v>
      </c>
      <c r="H26" s="7"/>
    </row>
    <row r="27" spans="2:8" x14ac:dyDescent="0.2">
      <c r="B27" s="5" t="s">
        <v>24</v>
      </c>
      <c r="C27" s="26">
        <v>542</v>
      </c>
      <c r="D27" s="42">
        <v>557</v>
      </c>
      <c r="E27" s="26">
        <f>SUM(C27)-D27</f>
        <v>-15</v>
      </c>
      <c r="F27" s="42">
        <v>559</v>
      </c>
      <c r="G27" s="6">
        <f t="shared" si="1"/>
        <v>-17</v>
      </c>
      <c r="H27" s="7"/>
    </row>
    <row r="28" spans="2:8" ht="15" x14ac:dyDescent="0.25">
      <c r="B28" s="39" t="s">
        <v>25</v>
      </c>
      <c r="C28" s="40">
        <f>SUM(C3:C27)</f>
        <v>37479</v>
      </c>
      <c r="D28" s="41">
        <f>SUM(D3:D27)</f>
        <v>37922</v>
      </c>
      <c r="E28" s="40">
        <f>SUM(E3:E27)</f>
        <v>-443</v>
      </c>
      <c r="F28" s="41">
        <f>SUM(F3:F27)</f>
        <v>37452</v>
      </c>
      <c r="G28" s="40">
        <f>SUM(G3:G27)</f>
        <v>27</v>
      </c>
      <c r="H28" s="7"/>
    </row>
    <row r="29" spans="2:8" ht="15" x14ac:dyDescent="0.25">
      <c r="B29" s="3" t="s">
        <v>49</v>
      </c>
      <c r="F29" s="7"/>
      <c r="G29" s="7"/>
    </row>
    <row r="30" spans="2:8" x14ac:dyDescent="0.2">
      <c r="B30" s="3" t="s">
        <v>50</v>
      </c>
    </row>
    <row r="32" spans="2:8" ht="25.5" x14ac:dyDescent="0.2">
      <c r="C32" s="123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31-03-'25 r.</v>
      </c>
      <c r="E3" s="36" t="str">
        <f>T('4długot.'!D2)</f>
        <v>liczba bezrobotnych pow. 12 m-cy stan na 28-02-'25 r.</v>
      </c>
      <c r="F3" s="36" t="str">
        <f>T('4długot.'!E2)</f>
        <v>wzrost/spadek do poprzedniego  miesiąca</v>
      </c>
      <c r="G3" s="36" t="str">
        <f>T('4długot.'!F2)</f>
        <v>liczba bezrobotnych pow. 12 m-cy,  stan na 31-03-'24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346</v>
      </c>
      <c r="E4" s="42">
        <f>INDEX('4długot.'!B3:G28,MATCH(1,B4:B29,0),3)</f>
        <v>361</v>
      </c>
      <c r="F4" s="6">
        <f>INDEX('4długot.'!B3:G28,MATCH(1,B4:B29,0),4)</f>
        <v>-15</v>
      </c>
      <c r="G4" s="42">
        <f>INDEX('4długot.'!B3:G28,MATCH(1,B4:B29,0),5)</f>
        <v>344</v>
      </c>
      <c r="H4" s="6">
        <f>INDEX('4długot.'!B3:G28,MATCH(1,B4:B29,0),6)</f>
        <v>2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542</v>
      </c>
      <c r="E5" s="42">
        <f>INDEX('4długot.'!B3:G28,MATCH(2,B4:B29,0),3)</f>
        <v>557</v>
      </c>
      <c r="F5" s="6">
        <f>INDEX('4długot.'!B3:G28,MATCH(2,B4:B29,0),4)</f>
        <v>-15</v>
      </c>
      <c r="G5" s="42">
        <f>INDEX('4długot.'!B3:G28,MATCH(2,B4:B29,0),5)</f>
        <v>559</v>
      </c>
      <c r="H5" s="6">
        <f>INDEX('4długot.'!B3:G28,MATCH(2,B4:B29,0),6)</f>
        <v>-17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625</v>
      </c>
      <c r="E6" s="42">
        <f>INDEX('4długot.'!B3:G28,MATCH(3,B4:B29,0),3)</f>
        <v>648</v>
      </c>
      <c r="F6" s="6">
        <f>INDEX('4długot.'!B3:G28,MATCH(3,B4:B29,0),4)</f>
        <v>-23</v>
      </c>
      <c r="G6" s="42">
        <f>INDEX('4długot.'!B3:G28,MATCH(3,B4:B29,0),5)</f>
        <v>651</v>
      </c>
      <c r="H6" s="6">
        <f>INDEX('4długot.'!B3:G28,MATCH(3,B4:B29,0),6)</f>
        <v>-26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657</v>
      </c>
      <c r="E7" s="42">
        <f>INDEX('4długot.'!B3:G28,MATCH(4,B4:B29,0),3)</f>
        <v>681</v>
      </c>
      <c r="F7" s="6">
        <f>INDEX('4długot.'!B3:G28,MATCH(4,B4:B29,0),4)</f>
        <v>-24</v>
      </c>
      <c r="G7" s="42">
        <f>INDEX('4długot.'!B3:G28,MATCH(4,B4:B29,0),5)</f>
        <v>613</v>
      </c>
      <c r="H7" s="6">
        <f>INDEX('4długot.'!B3:G28,MATCH(4,B4:B29,0),6)</f>
        <v>44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776</v>
      </c>
      <c r="E8" s="42">
        <f>INDEX('4długot.'!B3:G28,MATCH(5,B4:B29,0),3)</f>
        <v>775</v>
      </c>
      <c r="F8" s="6">
        <f>INDEX('4długot.'!B3:G28,MATCH(5,B4:B29,0),4)</f>
        <v>1</v>
      </c>
      <c r="G8" s="42">
        <f>INDEX('4długot.'!B3:G28,MATCH(5,B4:B29,0),5)</f>
        <v>753</v>
      </c>
      <c r="H8" s="6">
        <f>INDEX('4długot.'!B3:G28,MATCH(5,B4:B29,0),6)</f>
        <v>23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901</v>
      </c>
      <c r="E9" s="42">
        <f>INDEX('4długot.'!B3:G28,MATCH(6,B4:B29,0),3)</f>
        <v>926</v>
      </c>
      <c r="F9" s="6">
        <f>INDEX('4długot.'!B3:G28,MATCH(6,B4:B29,0),4)</f>
        <v>-25</v>
      </c>
      <c r="G9" s="42">
        <f>INDEX('4długot.'!B3:G28,MATCH(6,B4:B29,0),5)</f>
        <v>933</v>
      </c>
      <c r="H9" s="6">
        <f>INDEX('4długot.'!B3:G28,MATCH(6,B4:B29,0),6)</f>
        <v>-32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stalowowolski</v>
      </c>
      <c r="D10" s="6">
        <f>INDEX('4długot.'!B3:G28,MATCH(7,B4:B29,0),2)</f>
        <v>969</v>
      </c>
      <c r="E10" s="42">
        <f>INDEX('4długot.'!B3:G28,MATCH(7,B4:B29,0),3)</f>
        <v>966</v>
      </c>
      <c r="F10" s="6">
        <f>INDEX('4długot.'!B3:G28,MATCH(7,B4:B29,0),4)</f>
        <v>3</v>
      </c>
      <c r="G10" s="42">
        <f>INDEX('4długot.'!B3:G28,MATCH(7,B4:B29,0),5)</f>
        <v>806</v>
      </c>
      <c r="H10" s="6">
        <f>INDEX('4długot.'!B3:G28,MATCH(7,B4:B29,0),6)</f>
        <v>163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972</v>
      </c>
      <c r="E11" s="42">
        <f>INDEX('4długot.'!B3:G28,MATCH(8,B4:B29,0),3)</f>
        <v>986</v>
      </c>
      <c r="F11" s="6">
        <f>INDEX('4długot.'!B3:G28,MATCH(8,B4:B29,0),4)</f>
        <v>-14</v>
      </c>
      <c r="G11" s="42">
        <f>INDEX('4długot.'!B3:G28,MATCH(8,B4:B29,0),5)</f>
        <v>996</v>
      </c>
      <c r="H11" s="6">
        <f>INDEX('4długot.'!B3:G28,MATCH(8,B4:B29,0),6)</f>
        <v>-24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krośnieński</v>
      </c>
      <c r="D12" s="6">
        <f>INDEX('4długot.'!B3:G28,MATCH(9,B4:B29,0),2)</f>
        <v>1058</v>
      </c>
      <c r="E12" s="42">
        <f>INDEX('4długot.'!B3:G28,MATCH(9,B4:B29,0),3)</f>
        <v>1061</v>
      </c>
      <c r="F12" s="6">
        <f>INDEX('4długot.'!B3:G28,MATCH(9,B4:B29,0),4)</f>
        <v>-3</v>
      </c>
      <c r="G12" s="42">
        <f>INDEX('4długot.'!B3:G28,MATCH(9,B4:B29,0),5)</f>
        <v>1016</v>
      </c>
      <c r="H12" s="6">
        <f>INDEX('4długot.'!B3:G28,MATCH(9,B4:B29,0),6)</f>
        <v>42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leski</v>
      </c>
      <c r="D13" s="6">
        <f>INDEX('4długot.'!B3:G28,MATCH(10,B4:B29,0),2)</f>
        <v>1069</v>
      </c>
      <c r="E13" s="42">
        <f>INDEX('4długot.'!B3:G28,MATCH(10,B4:B29,0),3)</f>
        <v>1099</v>
      </c>
      <c r="F13" s="6">
        <f>INDEX('4długot.'!B3:G28,MATCH(10,B4:B29,0),4)</f>
        <v>-30</v>
      </c>
      <c r="G13" s="42">
        <f>INDEX('4długot.'!B3:G28,MATCH(10,B4:B29,0),5)</f>
        <v>1084</v>
      </c>
      <c r="H13" s="6">
        <f>INDEX('4długot.'!B3:G28,MATCH(10,B4:B29,0),6)</f>
        <v>-15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1221</v>
      </c>
      <c r="E14" s="42">
        <f>INDEX('4długot.'!B3:G28,MATCH(11,B4:B29,0),3)</f>
        <v>1245</v>
      </c>
      <c r="F14" s="6">
        <f>INDEX('4długot.'!B3:G28,MATCH(11,B4:B29,0),4)</f>
        <v>-24</v>
      </c>
      <c r="G14" s="42">
        <f>INDEX('4długot.'!B3:G28,MATCH(11,B4:B29,0),5)</f>
        <v>1253</v>
      </c>
      <c r="H14" s="6">
        <f>INDEX('4długot.'!B3:G28,MATCH(11,B4:B29,0),6)</f>
        <v>-32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ropczycko-sędziszowski</v>
      </c>
      <c r="D15" s="6">
        <f>INDEX('4długot.'!B3:G28,MATCH(12,B4:B29,0),2)</f>
        <v>1415</v>
      </c>
      <c r="E15" s="42">
        <f>INDEX('4długot.'!B3:G28,MATCH(12,B4:B29,0),3)</f>
        <v>1401</v>
      </c>
      <c r="F15" s="6">
        <f>INDEX('4długot.'!B3:G28,MATCH(12,B4:B29,0),4)</f>
        <v>14</v>
      </c>
      <c r="G15" s="42">
        <f>INDEX('4długot.'!B3:G28,MATCH(12,B4:B29,0),5)</f>
        <v>1339</v>
      </c>
      <c r="H15" s="6">
        <f>INDEX('4długot.'!B3:G28,MATCH(12,B4:B29,0),6)</f>
        <v>76</v>
      </c>
    </row>
    <row r="16" spans="2:8" x14ac:dyDescent="0.2">
      <c r="B16" s="6">
        <f>RANK('4długot.'!C15,'4długot.'!$C$3:'4długot.'!$C$28,1)+COUNTIF('4długot.'!$C$3:'4długot.'!C15,'4długot.'!C15)-1</f>
        <v>17</v>
      </c>
      <c r="C16" s="5" t="str">
        <f>INDEX('4długot.'!B3:G28,MATCH(13,B4:B29,0),1)</f>
        <v>Przemyśl</v>
      </c>
      <c r="D16" s="6">
        <f>INDEX('4długot.'!B3:G28,MATCH(13,B4:B29,0),2)</f>
        <v>1472</v>
      </c>
      <c r="E16" s="42">
        <f>INDEX('4długot.'!B3:G28,MATCH(13,B4:B29,0),3)</f>
        <v>1489</v>
      </c>
      <c r="F16" s="6">
        <f>INDEX('4długot.'!B3:G28,MATCH(13,B4:B29,0),4)</f>
        <v>-17</v>
      </c>
      <c r="G16" s="42">
        <f>INDEX('4długot.'!B3:G28,MATCH(13,B4:B29,0),5)</f>
        <v>1499</v>
      </c>
      <c r="H16" s="6">
        <f>INDEX('4długot.'!B3:G28,MATCH(13,B4:B29,0),6)</f>
        <v>-27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mielecki</v>
      </c>
      <c r="D17" s="6">
        <f>INDEX('4długot.'!B3:G28,MATCH(14,B4:B29,0),2)</f>
        <v>1551</v>
      </c>
      <c r="E17" s="42">
        <f>INDEX('4długot.'!B3:G28,MATCH(14,B4:B29,0),3)</f>
        <v>1528</v>
      </c>
      <c r="F17" s="6">
        <f>INDEX('4długot.'!B3:G28,MATCH(14,B4:B29,0),4)</f>
        <v>23</v>
      </c>
      <c r="G17" s="42">
        <f>INDEX('4długot.'!B3:G28,MATCH(14,B4:B29,0),5)</f>
        <v>1369</v>
      </c>
      <c r="H17" s="6">
        <f>INDEX('4długot.'!B3:G28,MATCH(14,B4:B29,0),6)</f>
        <v>182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1592</v>
      </c>
      <c r="E18" s="42">
        <f>INDEX('4długot.'!B3:G28,MATCH(15,B4:B29,0),3)</f>
        <v>1590</v>
      </c>
      <c r="F18" s="6">
        <f>INDEX('4długot.'!B3:G28,MATCH(15,B4:B29,0),4)</f>
        <v>2</v>
      </c>
      <c r="G18" s="42">
        <f>INDEX('4długot.'!B3:G28,MATCH(15,B4:B29,0),5)</f>
        <v>1467</v>
      </c>
      <c r="H18" s="6">
        <f>INDEX('4długot.'!B3:G28,MATCH(15,B4:B29,0),6)</f>
        <v>125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przemyski</v>
      </c>
      <c r="D19" s="6">
        <f>INDEX('4długot.'!B3:G28,MATCH(16,B4:B29,0),2)</f>
        <v>1666</v>
      </c>
      <c r="E19" s="42">
        <f>INDEX('4długot.'!B3:G28,MATCH(16,B4:B29,0),3)</f>
        <v>1714</v>
      </c>
      <c r="F19" s="6">
        <f>INDEX('4długot.'!B3:G28,MATCH(16,B4:B29,0),4)</f>
        <v>-48</v>
      </c>
      <c r="G19" s="42">
        <f>INDEX('4długot.'!B3:G28,MATCH(16,B4:B29,0),5)</f>
        <v>1703</v>
      </c>
      <c r="H19" s="6">
        <f>INDEX('4długot.'!B3:G28,MATCH(16,B4:B29,0),6)</f>
        <v>-37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niżański</v>
      </c>
      <c r="D20" s="6">
        <f>INDEX('4długot.'!B3:G28,MATCH(17,B4:B29,0),2)</f>
        <v>1695</v>
      </c>
      <c r="E20" s="42">
        <f>INDEX('4długot.'!B3:G28,MATCH(17,B4:B29,0),3)</f>
        <v>1722</v>
      </c>
      <c r="F20" s="6">
        <f>INDEX('4długot.'!B3:G28,MATCH(17,B4:B29,0),4)</f>
        <v>-27</v>
      </c>
      <c r="G20" s="42">
        <f>INDEX('4długot.'!B3:G28,MATCH(17,B4:B29,0),5)</f>
        <v>1689</v>
      </c>
      <c r="H20" s="6">
        <f>INDEX('4długot.'!B3:G28,MATCH(17,B4:B29,0),6)</f>
        <v>6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leżajski</v>
      </c>
      <c r="D21" s="6">
        <f>INDEX('4długot.'!B3:G28,MATCH(18,B4:B29,0),2)</f>
        <v>1732</v>
      </c>
      <c r="E21" s="42">
        <f>INDEX('4długot.'!B3:G28,MATCH(18,B4:B29,0),3)</f>
        <v>1767</v>
      </c>
      <c r="F21" s="6">
        <f>INDEX('4długot.'!B3:G28,MATCH(18,B4:B29,0),4)</f>
        <v>-35</v>
      </c>
      <c r="G21" s="42">
        <f>INDEX('4długot.'!B3:G28,MATCH(18,B4:B29,0),5)</f>
        <v>1741</v>
      </c>
      <c r="H21" s="6">
        <f>INDEX('4długot.'!B3:G28,MATCH(18,B4:B29,0),6)</f>
        <v>-9</v>
      </c>
    </row>
    <row r="22" spans="2:8" x14ac:dyDescent="0.2">
      <c r="B22" s="6">
        <f>RANK('4długot.'!C21,'4długot.'!$C$3:'4długot.'!$C$28,1)+COUNTIF('4długot.'!$C$3:'4długot.'!C21,'4długot.'!C21)-1</f>
        <v>7</v>
      </c>
      <c r="C22" s="5" t="str">
        <f>INDEX('4długot.'!B3:G28,MATCH(19,B4:B29,0),1)</f>
        <v>strzyżowski</v>
      </c>
      <c r="D22" s="6">
        <f>INDEX('4długot.'!B3:G28,MATCH(19,B4:B29,0),2)</f>
        <v>1929</v>
      </c>
      <c r="E22" s="42">
        <f>INDEX('4długot.'!B3:G28,MATCH(19,B4:B29,0),3)</f>
        <v>1957</v>
      </c>
      <c r="F22" s="6">
        <f>INDEX('4długot.'!B3:G28,MATCH(19,B4:B29,0),4)</f>
        <v>-28</v>
      </c>
      <c r="G22" s="42">
        <f>INDEX('4długot.'!B3:G28,MATCH(19,B4:B29,0),5)</f>
        <v>1941</v>
      </c>
      <c r="H22" s="6">
        <f>INDEX('4długot.'!B3:G28,MATCH(19,B4:B29,0),6)</f>
        <v>-12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1970</v>
      </c>
      <c r="E23" s="42">
        <f>INDEX('4długot.'!B3:G28,MATCH(20,B4:B29,0),3)</f>
        <v>1992</v>
      </c>
      <c r="F23" s="6">
        <f>INDEX('4długot.'!B3:G28,MATCH(20,B4:B29,0),4)</f>
        <v>-22</v>
      </c>
      <c r="G23" s="42">
        <f>INDEX('4długot.'!B3:G28,MATCH(20,B4:B29,0),5)</f>
        <v>1916</v>
      </c>
      <c r="H23" s="6">
        <f>INDEX('4długot.'!B3:G28,MATCH(20,B4:B29,0),6)</f>
        <v>54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2405</v>
      </c>
      <c r="E24" s="42">
        <f>INDEX('4długot.'!B3:G28,MATCH(21,B4:B29,0),3)</f>
        <v>2420</v>
      </c>
      <c r="F24" s="6">
        <f>INDEX('4długot.'!B3:G28,MATCH(21,B4:B29,0),4)</f>
        <v>-15</v>
      </c>
      <c r="G24" s="42">
        <f>INDEX('4długot.'!B3:G28,MATCH(21,B4:B29,0),5)</f>
        <v>2467</v>
      </c>
      <c r="H24" s="6">
        <f>INDEX('4długot.'!B3:G28,MATCH(21,B4:B29,0),6)</f>
        <v>-62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2456</v>
      </c>
      <c r="E25" s="42">
        <f>INDEX('4długot.'!B3:G28,MATCH(22,B4:B29,0),3)</f>
        <v>2532</v>
      </c>
      <c r="F25" s="6">
        <f>INDEX('4długot.'!B3:G28,MATCH(22,B4:B29,0),4)</f>
        <v>-76</v>
      </c>
      <c r="G25" s="42">
        <f>INDEX('4długot.'!B3:G28,MATCH(22,B4:B29,0),5)</f>
        <v>2507</v>
      </c>
      <c r="H25" s="6">
        <f>INDEX('4długot.'!B3:G28,MATCH(22,B4:B29,0),6)</f>
        <v>-51</v>
      </c>
    </row>
    <row r="26" spans="2:8" x14ac:dyDescent="0.2">
      <c r="B26" s="6">
        <f>RANK('4długot.'!C25,'4długot.'!$C$3:'4długot.'!$C$28,1)+COUNTIF('4długot.'!$C$3:'4długot.'!C25,'4długot.'!C25)-1</f>
        <v>13</v>
      </c>
      <c r="C26" s="5" t="str">
        <f>INDEX('4długot.'!B3:G28,MATCH(23,B4:B29,0),1)</f>
        <v>rzeszowski</v>
      </c>
      <c r="D26" s="6">
        <f>INDEX('4długot.'!B3:G28,MATCH(23,B4:B29,0),2)</f>
        <v>2560</v>
      </c>
      <c r="E26" s="42">
        <f>INDEX('4długot.'!B3:G28,MATCH(23,B4:B29,0),3)</f>
        <v>2569</v>
      </c>
      <c r="F26" s="6">
        <f>INDEX('4długot.'!B3:G28,MATCH(23,B4:B29,0),4)</f>
        <v>-9</v>
      </c>
      <c r="G26" s="42">
        <f>INDEX('4długot.'!B3:G28,MATCH(23,B4:B29,0),5)</f>
        <v>2616</v>
      </c>
      <c r="H26" s="6">
        <f>INDEX('4długot.'!B3:G28,MATCH(23,B4:B29,0),6)</f>
        <v>-56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2869</v>
      </c>
      <c r="E27" s="42">
        <f>INDEX('4długot.'!B3:G28,MATCH(24,B4:B29,0),3)</f>
        <v>2874</v>
      </c>
      <c r="F27" s="6">
        <f>INDEX('4długot.'!B3:G28,MATCH(24,B4:B29,0),4)</f>
        <v>-5</v>
      </c>
      <c r="G27" s="42">
        <f>INDEX('4długot.'!B3:G28,MATCH(24,B4:B29,0),5)</f>
        <v>3063</v>
      </c>
      <c r="H27" s="6">
        <f>INDEX('4długot.'!B3:G28,MATCH(24,B4:B29,0),6)</f>
        <v>-194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3031</v>
      </c>
      <c r="E28" s="42">
        <f>INDEX('4długot.'!B3:G28,MATCH(25,B4:B29,0),3)</f>
        <v>3062</v>
      </c>
      <c r="F28" s="6">
        <f>INDEX('4długot.'!B3:G28,MATCH(25,B4:B29,0),4)</f>
        <v>-31</v>
      </c>
      <c r="G28" s="42">
        <f>INDEX('4długot.'!B3:G28,MATCH(25,B4:B29,0),5)</f>
        <v>3127</v>
      </c>
      <c r="H28" s="6">
        <f>INDEX('4długot.'!B3:G28,MATCH(25,B4:B29,0),6)</f>
        <v>-96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37479</v>
      </c>
      <c r="E29" s="44">
        <f>INDEX('4długot.'!B3:G28,MATCH(26,B4:B29,0),3)</f>
        <v>37922</v>
      </c>
      <c r="F29" s="40">
        <f>INDEX('4długot.'!B3:G28,MATCH(26,B4:B29,0),4)</f>
        <v>-443</v>
      </c>
      <c r="G29" s="44">
        <f>INDEX('4długot.'!B3:G28,MATCH(26,B4:B29,0),5)</f>
        <v>37452</v>
      </c>
      <c r="H29" s="40">
        <f>INDEX('4długot.'!B3:G28,MATCH(26,B4:B29,0),6)</f>
        <v>27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89</v>
      </c>
      <c r="D2" s="38" t="s">
        <v>90</v>
      </c>
      <c r="E2" s="37" t="s">
        <v>28</v>
      </c>
      <c r="F2" s="38" t="s">
        <v>88</v>
      </c>
      <c r="G2" s="37" t="s">
        <v>26</v>
      </c>
    </row>
    <row r="3" spans="2:8" x14ac:dyDescent="0.2">
      <c r="B3" s="5" t="s">
        <v>0</v>
      </c>
      <c r="C3" s="28">
        <v>287</v>
      </c>
      <c r="D3" s="42">
        <v>331</v>
      </c>
      <c r="E3" s="28">
        <f t="shared" ref="E3:E27" si="0">SUM(C3)-D3</f>
        <v>-44</v>
      </c>
      <c r="F3" s="42">
        <v>284</v>
      </c>
      <c r="G3" s="28">
        <f t="shared" ref="G3:G27" si="1">SUM(C3)-F3</f>
        <v>3</v>
      </c>
      <c r="H3" s="7"/>
    </row>
    <row r="4" spans="2:8" x14ac:dyDescent="0.2">
      <c r="B4" s="5" t="s">
        <v>1</v>
      </c>
      <c r="C4" s="28">
        <v>1030</v>
      </c>
      <c r="D4" s="42">
        <v>1082</v>
      </c>
      <c r="E4" s="28">
        <f t="shared" si="0"/>
        <v>-52</v>
      </c>
      <c r="F4" s="42">
        <v>994</v>
      </c>
      <c r="G4" s="28">
        <f t="shared" si="1"/>
        <v>36</v>
      </c>
      <c r="H4" s="7"/>
    </row>
    <row r="5" spans="2:8" x14ac:dyDescent="0.2">
      <c r="B5" s="5" t="s">
        <v>2</v>
      </c>
      <c r="C5" s="28">
        <v>751</v>
      </c>
      <c r="D5" s="42">
        <v>794</v>
      </c>
      <c r="E5" s="28">
        <f t="shared" si="0"/>
        <v>-43</v>
      </c>
      <c r="F5" s="42">
        <v>716</v>
      </c>
      <c r="G5" s="28">
        <f t="shared" si="1"/>
        <v>35</v>
      </c>
      <c r="H5" s="7"/>
    </row>
    <row r="6" spans="2:8" x14ac:dyDescent="0.2">
      <c r="B6" s="5" t="s">
        <v>3</v>
      </c>
      <c r="C6" s="28">
        <v>1237</v>
      </c>
      <c r="D6" s="42">
        <v>1355</v>
      </c>
      <c r="E6" s="28">
        <f t="shared" si="0"/>
        <v>-118</v>
      </c>
      <c r="F6" s="42">
        <v>1196</v>
      </c>
      <c r="G6" s="28">
        <f t="shared" si="1"/>
        <v>41</v>
      </c>
      <c r="H6" s="7"/>
    </row>
    <row r="7" spans="2:8" x14ac:dyDescent="0.2">
      <c r="B7" s="5" t="s">
        <v>4</v>
      </c>
      <c r="C7" s="28">
        <v>1280</v>
      </c>
      <c r="D7" s="42">
        <v>1337</v>
      </c>
      <c r="E7" s="28">
        <f t="shared" si="0"/>
        <v>-57</v>
      </c>
      <c r="F7" s="42">
        <v>1325</v>
      </c>
      <c r="G7" s="28">
        <f t="shared" si="1"/>
        <v>-45</v>
      </c>
      <c r="H7" s="7"/>
    </row>
    <row r="8" spans="2:8" x14ac:dyDescent="0.2">
      <c r="B8" s="5" t="s">
        <v>5</v>
      </c>
      <c r="C8" s="28">
        <v>467</v>
      </c>
      <c r="D8" s="42">
        <v>462</v>
      </c>
      <c r="E8" s="28">
        <f t="shared" si="0"/>
        <v>5</v>
      </c>
      <c r="F8" s="42">
        <v>429</v>
      </c>
      <c r="G8" s="28">
        <f t="shared" si="1"/>
        <v>38</v>
      </c>
      <c r="H8" s="7"/>
    </row>
    <row r="9" spans="2:8" x14ac:dyDescent="0.2">
      <c r="B9" s="9" t="s">
        <v>6</v>
      </c>
      <c r="C9" s="28">
        <v>627</v>
      </c>
      <c r="D9" s="42">
        <v>698</v>
      </c>
      <c r="E9" s="28">
        <f t="shared" si="0"/>
        <v>-71</v>
      </c>
      <c r="F9" s="42">
        <v>658</v>
      </c>
      <c r="G9" s="28">
        <f t="shared" si="1"/>
        <v>-31</v>
      </c>
      <c r="H9" s="7"/>
    </row>
    <row r="10" spans="2:8" x14ac:dyDescent="0.2">
      <c r="B10" s="5" t="s">
        <v>7</v>
      </c>
      <c r="C10" s="28">
        <v>424</v>
      </c>
      <c r="D10" s="42">
        <v>438</v>
      </c>
      <c r="E10" s="28">
        <f t="shared" si="0"/>
        <v>-14</v>
      </c>
      <c r="F10" s="42">
        <v>430</v>
      </c>
      <c r="G10" s="28">
        <f t="shared" si="1"/>
        <v>-6</v>
      </c>
      <c r="H10" s="7"/>
    </row>
    <row r="11" spans="2:8" x14ac:dyDescent="0.2">
      <c r="B11" s="5" t="s">
        <v>8</v>
      </c>
      <c r="C11" s="28">
        <v>837</v>
      </c>
      <c r="D11" s="42">
        <v>957</v>
      </c>
      <c r="E11" s="28">
        <f t="shared" si="0"/>
        <v>-120</v>
      </c>
      <c r="F11" s="42">
        <v>867</v>
      </c>
      <c r="G11" s="28">
        <f t="shared" si="1"/>
        <v>-30</v>
      </c>
      <c r="H11" s="7"/>
    </row>
    <row r="12" spans="2:8" x14ac:dyDescent="0.2">
      <c r="B12" s="5" t="s">
        <v>9</v>
      </c>
      <c r="C12" s="28">
        <v>461</v>
      </c>
      <c r="D12" s="42">
        <v>514</v>
      </c>
      <c r="E12" s="28">
        <f t="shared" si="0"/>
        <v>-53</v>
      </c>
      <c r="F12" s="42">
        <v>495</v>
      </c>
      <c r="G12" s="28">
        <f t="shared" si="1"/>
        <v>-34</v>
      </c>
      <c r="H12" s="7"/>
    </row>
    <row r="13" spans="2:8" x14ac:dyDescent="0.2">
      <c r="B13" s="5" t="s">
        <v>10</v>
      </c>
      <c r="C13" s="28">
        <v>753</v>
      </c>
      <c r="D13" s="42">
        <v>798</v>
      </c>
      <c r="E13" s="28">
        <f t="shared" si="0"/>
        <v>-45</v>
      </c>
      <c r="F13" s="42">
        <v>773</v>
      </c>
      <c r="G13" s="28">
        <f t="shared" si="1"/>
        <v>-20</v>
      </c>
      <c r="H13" s="7"/>
    </row>
    <row r="14" spans="2:8" x14ac:dyDescent="0.2">
      <c r="B14" s="5" t="s">
        <v>11</v>
      </c>
      <c r="C14" s="28">
        <v>833</v>
      </c>
      <c r="D14" s="42">
        <v>866</v>
      </c>
      <c r="E14" s="28">
        <f t="shared" si="0"/>
        <v>-33</v>
      </c>
      <c r="F14" s="42">
        <v>767</v>
      </c>
      <c r="G14" s="28">
        <f t="shared" si="1"/>
        <v>66</v>
      </c>
      <c r="H14" s="7"/>
    </row>
    <row r="15" spans="2:8" x14ac:dyDescent="0.2">
      <c r="B15" s="5" t="s">
        <v>12</v>
      </c>
      <c r="C15" s="28">
        <v>781</v>
      </c>
      <c r="D15" s="42">
        <v>845</v>
      </c>
      <c r="E15" s="28">
        <f t="shared" si="0"/>
        <v>-64</v>
      </c>
      <c r="F15" s="42">
        <v>772</v>
      </c>
      <c r="G15" s="28">
        <f t="shared" si="1"/>
        <v>9</v>
      </c>
      <c r="H15" s="7"/>
    </row>
    <row r="16" spans="2:8" x14ac:dyDescent="0.2">
      <c r="B16" s="5" t="s">
        <v>13</v>
      </c>
      <c r="C16" s="28">
        <v>757</v>
      </c>
      <c r="D16" s="42">
        <v>817</v>
      </c>
      <c r="E16" s="28">
        <f t="shared" si="0"/>
        <v>-60</v>
      </c>
      <c r="F16" s="42">
        <v>806</v>
      </c>
      <c r="G16" s="28">
        <f t="shared" si="1"/>
        <v>-49</v>
      </c>
      <c r="H16" s="7"/>
    </row>
    <row r="17" spans="2:8" x14ac:dyDescent="0.2">
      <c r="B17" s="5" t="s">
        <v>14</v>
      </c>
      <c r="C17" s="28">
        <v>930</v>
      </c>
      <c r="D17" s="42">
        <v>966</v>
      </c>
      <c r="E17" s="28">
        <f t="shared" si="0"/>
        <v>-36</v>
      </c>
      <c r="F17" s="42">
        <v>883</v>
      </c>
      <c r="G17" s="28">
        <f t="shared" si="1"/>
        <v>47</v>
      </c>
      <c r="H17" s="7"/>
    </row>
    <row r="18" spans="2:8" x14ac:dyDescent="0.2">
      <c r="B18" s="5" t="s">
        <v>15</v>
      </c>
      <c r="C18" s="28">
        <v>858</v>
      </c>
      <c r="D18" s="42">
        <v>877</v>
      </c>
      <c r="E18" s="28">
        <f t="shared" si="0"/>
        <v>-19</v>
      </c>
      <c r="F18" s="42">
        <v>780</v>
      </c>
      <c r="G18" s="28">
        <f t="shared" si="1"/>
        <v>78</v>
      </c>
      <c r="H18" s="7"/>
    </row>
    <row r="19" spans="2:8" x14ac:dyDescent="0.2">
      <c r="B19" s="5" t="s">
        <v>16</v>
      </c>
      <c r="C19" s="28">
        <v>1263</v>
      </c>
      <c r="D19" s="42">
        <v>1298</v>
      </c>
      <c r="E19" s="28">
        <f t="shared" si="0"/>
        <v>-35</v>
      </c>
      <c r="F19" s="42">
        <v>1273</v>
      </c>
      <c r="G19" s="28">
        <f t="shared" si="1"/>
        <v>-10</v>
      </c>
      <c r="H19" s="7"/>
    </row>
    <row r="20" spans="2:8" x14ac:dyDescent="0.2">
      <c r="B20" s="5" t="s">
        <v>17</v>
      </c>
      <c r="C20" s="28">
        <v>852</v>
      </c>
      <c r="D20" s="42">
        <v>846</v>
      </c>
      <c r="E20" s="28">
        <f t="shared" si="0"/>
        <v>6</v>
      </c>
      <c r="F20" s="42">
        <v>789</v>
      </c>
      <c r="G20" s="28">
        <f t="shared" si="1"/>
        <v>63</v>
      </c>
      <c r="H20" s="7"/>
    </row>
    <row r="21" spans="2:8" x14ac:dyDescent="0.2">
      <c r="B21" s="5" t="s">
        <v>18</v>
      </c>
      <c r="C21" s="28">
        <v>616</v>
      </c>
      <c r="D21" s="42">
        <v>636</v>
      </c>
      <c r="E21" s="28">
        <f t="shared" si="0"/>
        <v>-20</v>
      </c>
      <c r="F21" s="42">
        <v>552</v>
      </c>
      <c r="G21" s="28">
        <f t="shared" si="1"/>
        <v>64</v>
      </c>
      <c r="H21" s="7"/>
    </row>
    <row r="22" spans="2:8" x14ac:dyDescent="0.2">
      <c r="B22" s="5" t="s">
        <v>19</v>
      </c>
      <c r="C22" s="28">
        <v>845</v>
      </c>
      <c r="D22" s="42">
        <v>888</v>
      </c>
      <c r="E22" s="28">
        <f t="shared" si="0"/>
        <v>-43</v>
      </c>
      <c r="F22" s="42">
        <v>851</v>
      </c>
      <c r="G22" s="28">
        <f t="shared" si="1"/>
        <v>-6</v>
      </c>
      <c r="H22" s="7"/>
    </row>
    <row r="23" spans="2:8" x14ac:dyDescent="0.2">
      <c r="B23" s="5" t="s">
        <v>20</v>
      </c>
      <c r="C23" s="28">
        <v>323</v>
      </c>
      <c r="D23" s="42">
        <v>346</v>
      </c>
      <c r="E23" s="28">
        <f t="shared" si="0"/>
        <v>-23</v>
      </c>
      <c r="F23" s="42">
        <v>351</v>
      </c>
      <c r="G23" s="28">
        <f t="shared" si="1"/>
        <v>-28</v>
      </c>
      <c r="H23" s="7"/>
    </row>
    <row r="24" spans="2:8" x14ac:dyDescent="0.2">
      <c r="B24" s="5" t="s">
        <v>21</v>
      </c>
      <c r="C24" s="28">
        <v>176</v>
      </c>
      <c r="D24" s="42">
        <v>188</v>
      </c>
      <c r="E24" s="28">
        <f t="shared" si="0"/>
        <v>-12</v>
      </c>
      <c r="F24" s="42">
        <v>180</v>
      </c>
      <c r="G24" s="28">
        <f t="shared" si="1"/>
        <v>-4</v>
      </c>
      <c r="H24" s="7"/>
    </row>
    <row r="25" spans="2:8" x14ac:dyDescent="0.2">
      <c r="B25" s="5" t="s">
        <v>22</v>
      </c>
      <c r="C25" s="28">
        <v>454</v>
      </c>
      <c r="D25" s="42">
        <v>483</v>
      </c>
      <c r="E25" s="28">
        <f t="shared" si="0"/>
        <v>-29</v>
      </c>
      <c r="F25" s="42">
        <v>418</v>
      </c>
      <c r="G25" s="28">
        <f t="shared" si="1"/>
        <v>36</v>
      </c>
      <c r="H25" s="7"/>
    </row>
    <row r="26" spans="2:8" x14ac:dyDescent="0.2">
      <c r="B26" s="5" t="s">
        <v>23</v>
      </c>
      <c r="C26" s="28">
        <v>986</v>
      </c>
      <c r="D26" s="42">
        <v>1012</v>
      </c>
      <c r="E26" s="28">
        <f t="shared" si="0"/>
        <v>-26</v>
      </c>
      <c r="F26" s="42">
        <v>968</v>
      </c>
      <c r="G26" s="28">
        <f t="shared" si="1"/>
        <v>18</v>
      </c>
      <c r="H26" s="7"/>
    </row>
    <row r="27" spans="2:8" x14ac:dyDescent="0.2">
      <c r="B27" s="5" t="s">
        <v>24</v>
      </c>
      <c r="C27" s="28">
        <v>219</v>
      </c>
      <c r="D27" s="42">
        <v>246</v>
      </c>
      <c r="E27" s="28">
        <f t="shared" si="0"/>
        <v>-27</v>
      </c>
      <c r="F27" s="42">
        <v>245</v>
      </c>
      <c r="G27" s="28">
        <f t="shared" si="1"/>
        <v>-26</v>
      </c>
      <c r="H27" s="7"/>
    </row>
    <row r="28" spans="2:8" ht="15" x14ac:dyDescent="0.25">
      <c r="B28" s="39" t="s">
        <v>25</v>
      </c>
      <c r="C28" s="48">
        <f>SUM(C3:C27)</f>
        <v>18047</v>
      </c>
      <c r="D28" s="44">
        <f>SUM(D3:D27)</f>
        <v>19080</v>
      </c>
      <c r="E28" s="48">
        <f>SUM(E3:E27)</f>
        <v>-1033</v>
      </c>
      <c r="F28" s="44">
        <f>SUM(F3:F27)</f>
        <v>17802</v>
      </c>
      <c r="G28" s="48">
        <f>SUM(G3:G27)</f>
        <v>245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2025-04-01T07:11:30Z</cp:lastPrinted>
  <dcterms:created xsi:type="dcterms:W3CDTF">2016-08-02T05:46:03Z</dcterms:created>
  <dcterms:modified xsi:type="dcterms:W3CDTF">2025-04-16T11:27:08Z</dcterms:modified>
</cp:coreProperties>
</file>